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510" windowHeight="8085" firstSheet="15" activeTab="24"/>
  </bookViews>
  <sheets>
    <sheet name="JANEIRO 2021" sheetId="13" r:id="rId1"/>
    <sheet name="MARÇO 2021" sheetId="14" r:id="rId2"/>
    <sheet name="ABRIL 2021" sheetId="15" r:id="rId3"/>
    <sheet name="MAIO 2021" sheetId="16" r:id="rId4"/>
    <sheet name="JUNHO 2021" sheetId="17" r:id="rId5"/>
    <sheet name="JULHO 2021" sheetId="18" r:id="rId6"/>
    <sheet name="AGOSTO 2021" sheetId="19" r:id="rId7"/>
    <sheet name="SETEMBRO 2021" sheetId="20" r:id="rId8"/>
    <sheet name="OUTUBRO 2021" sheetId="21" r:id="rId9"/>
    <sheet name="NOVEMBRO 2021" sheetId="22" r:id="rId10"/>
    <sheet name="DEZEMBRO 2021" sheetId="23" r:id="rId11"/>
    <sheet name="JANEIRO 2022" sheetId="24" r:id="rId12"/>
    <sheet name="FEVEREIRO 2022" sheetId="25" r:id="rId13"/>
    <sheet name="MARÇO 2022" sheetId="26" r:id="rId14"/>
    <sheet name="ABRIL 2022" sheetId="27" r:id="rId15"/>
    <sheet name="MAIO 2022" sheetId="28" r:id="rId16"/>
    <sheet name="JUNHO 2022" sheetId="29" r:id="rId17"/>
    <sheet name="JULHO 2022" sheetId="30" r:id="rId18"/>
    <sheet name="AGOSTO 2022" sheetId="31" r:id="rId19"/>
    <sheet name="SETEMBRO 2022" sheetId="32" r:id="rId20"/>
    <sheet name="OUTUBRO 2022 " sheetId="33" r:id="rId21"/>
    <sheet name="NOVEMBRO 2022" sheetId="34" r:id="rId22"/>
    <sheet name="DEZEMBRO 2022" sheetId="36" r:id="rId23"/>
    <sheet name="JANEIRO 2023" sheetId="37" r:id="rId24"/>
    <sheet name="2024" sheetId="48" r:id="rId25"/>
  </sheets>
  <externalReferences>
    <externalReference r:id="rId26"/>
    <externalReference r:id="rId27"/>
  </externalReferences>
  <definedNames>
    <definedName name="_xlnm.Print_Area" localSheetId="24">'2024'!$A$1:$J$69</definedName>
    <definedName name="_xlnm.Print_Area" localSheetId="0">'JANEIRO 2021'!$B$1:$D$58</definedName>
    <definedName name="Excel_BuiltIn_Print_Area" localSheetId="0">'JANEIRO 2021'!$B$1:$D$58</definedName>
  </definedNames>
  <calcPr calcId="124519"/>
</workbook>
</file>

<file path=xl/calcChain.xml><?xml version="1.0" encoding="utf-8"?>
<calcChain xmlns="http://schemas.openxmlformats.org/spreadsheetml/2006/main">
  <c r="J26" i="48"/>
  <c r="J27"/>
  <c r="J28"/>
  <c r="J29"/>
  <c r="J25"/>
  <c r="J10"/>
  <c r="J11"/>
  <c r="J12"/>
  <c r="J13"/>
  <c r="J14"/>
  <c r="J15"/>
  <c r="J16"/>
  <c r="J17"/>
  <c r="J18"/>
  <c r="J19"/>
  <c r="J9"/>
  <c r="B31"/>
  <c r="B30"/>
  <c r="B29"/>
  <c r="B20"/>
  <c r="B9" l="1"/>
  <c r="C29"/>
  <c r="E9"/>
  <c r="E20" s="1"/>
  <c r="D20"/>
  <c r="F20"/>
  <c r="G20"/>
  <c r="H20"/>
  <c r="I20"/>
  <c r="C10"/>
  <c r="C9"/>
  <c r="C20" l="1"/>
  <c r="C30" l="1"/>
  <c r="C31" s="1"/>
  <c r="D30"/>
  <c r="D29"/>
  <c r="D10" l="1"/>
  <c r="D9"/>
  <c r="J65"/>
  <c r="D31" l="1"/>
  <c r="E29"/>
  <c r="H15"/>
  <c r="E30" l="1"/>
  <c r="E31" l="1"/>
  <c r="F29" l="1"/>
  <c r="F30" s="1"/>
  <c r="F9"/>
  <c r="F31" l="1"/>
  <c r="G29" l="1"/>
  <c r="G30" l="1"/>
  <c r="G9"/>
  <c r="G31" l="1"/>
  <c r="H29"/>
  <c r="H30" s="1"/>
  <c r="H14"/>
  <c r="H9"/>
  <c r="H31" l="1"/>
  <c r="I27"/>
  <c r="I29" l="1"/>
  <c r="I9"/>
  <c r="J30" l="1"/>
  <c r="I30"/>
  <c r="J46"/>
  <c r="I67" s="1"/>
  <c r="J20" l="1"/>
  <c r="J31" s="1"/>
  <c r="I31"/>
  <c r="C29" i="37" l="1"/>
  <c r="C49"/>
  <c r="C53" s="1"/>
  <c r="C13" l="1"/>
  <c r="C10"/>
  <c r="C45"/>
  <c r="C55" s="1"/>
  <c r="C30"/>
  <c r="D29"/>
  <c r="D28"/>
  <c r="D27"/>
  <c r="D26"/>
  <c r="D25"/>
  <c r="D19"/>
  <c r="D18"/>
  <c r="D17"/>
  <c r="D16"/>
  <c r="D15"/>
  <c r="D14"/>
  <c r="D12"/>
  <c r="D11"/>
  <c r="C20" l="1"/>
  <c r="C31" s="1"/>
  <c r="D13"/>
  <c r="D30"/>
  <c r="D10"/>
  <c r="C29" i="29"/>
  <c r="D29" i="30"/>
  <c r="E29" i="31"/>
  <c r="C29"/>
  <c r="F29" i="32"/>
  <c r="D29"/>
  <c r="C29"/>
  <c r="K26" i="31"/>
  <c r="K27"/>
  <c r="K28"/>
  <c r="L26" i="32"/>
  <c r="L27"/>
  <c r="L28"/>
  <c r="G29" i="33"/>
  <c r="E29"/>
  <c r="D29"/>
  <c r="M28"/>
  <c r="M27"/>
  <c r="M26"/>
  <c r="H29" i="34"/>
  <c r="F29"/>
  <c r="E29"/>
  <c r="N28"/>
  <c r="N27"/>
  <c r="N26"/>
  <c r="O28" i="36"/>
  <c r="C30" i="34"/>
  <c r="C31" s="1"/>
  <c r="M19" i="33"/>
  <c r="M18"/>
  <c r="M17"/>
  <c r="M16"/>
  <c r="M15"/>
  <c r="M13"/>
  <c r="M12"/>
  <c r="M11"/>
  <c r="N18" i="34"/>
  <c r="N17"/>
  <c r="N16"/>
  <c r="N15"/>
  <c r="N12"/>
  <c r="N11"/>
  <c r="O18" i="36"/>
  <c r="O17"/>
  <c r="O16"/>
  <c r="O15"/>
  <c r="O12"/>
  <c r="O11"/>
  <c r="O27"/>
  <c r="O26"/>
  <c r="C19"/>
  <c r="O19" s="1"/>
  <c r="O50"/>
  <c r="O51"/>
  <c r="D19"/>
  <c r="D13"/>
  <c r="D10"/>
  <c r="C10" i="34"/>
  <c r="N29" l="1"/>
  <c r="D21" i="36"/>
  <c r="M29" i="33"/>
  <c r="D20" i="37"/>
  <c r="D31" s="1"/>
  <c r="K30" i="31"/>
  <c r="K29"/>
  <c r="L30" i="32"/>
  <c r="L29"/>
  <c r="C10" i="36"/>
  <c r="C13"/>
  <c r="O13" s="1"/>
  <c r="C31"/>
  <c r="O53"/>
  <c r="O45"/>
  <c r="M31"/>
  <c r="L31"/>
  <c r="N31"/>
  <c r="K31"/>
  <c r="E30"/>
  <c r="E31" s="1"/>
  <c r="D30"/>
  <c r="D31" s="1"/>
  <c r="I29"/>
  <c r="G29"/>
  <c r="F29"/>
  <c r="M21"/>
  <c r="L21"/>
  <c r="K21"/>
  <c r="E21"/>
  <c r="J20"/>
  <c r="J21" s="1"/>
  <c r="I20"/>
  <c r="I21" s="1"/>
  <c r="H20"/>
  <c r="H21" s="1"/>
  <c r="G20"/>
  <c r="G21" s="1"/>
  <c r="F20"/>
  <c r="F14"/>
  <c r="N10"/>
  <c r="N21" s="1"/>
  <c r="M51" i="33"/>
  <c r="M45"/>
  <c r="N51" i="34"/>
  <c r="N53" s="1"/>
  <c r="N45"/>
  <c r="L31"/>
  <c r="K31"/>
  <c r="J31"/>
  <c r="M31"/>
  <c r="I31"/>
  <c r="H31"/>
  <c r="D30"/>
  <c r="D31" s="1"/>
  <c r="L21"/>
  <c r="K21"/>
  <c r="J21"/>
  <c r="D21"/>
  <c r="I20"/>
  <c r="I21" s="1"/>
  <c r="H20"/>
  <c r="H21" s="1"/>
  <c r="G20"/>
  <c r="G21" s="1"/>
  <c r="F20"/>
  <c r="F21" s="1"/>
  <c r="E20"/>
  <c r="C19"/>
  <c r="E14"/>
  <c r="N14" s="1"/>
  <c r="C13"/>
  <c r="N13" s="1"/>
  <c r="M10"/>
  <c r="E32" i="36" l="1"/>
  <c r="D32"/>
  <c r="N32"/>
  <c r="I32" i="34"/>
  <c r="D32"/>
  <c r="K32"/>
  <c r="K32" i="36"/>
  <c r="O20"/>
  <c r="N55" i="34"/>
  <c r="L32" i="36"/>
  <c r="O10"/>
  <c r="C21" i="34"/>
  <c r="C32" s="1"/>
  <c r="N19"/>
  <c r="J32"/>
  <c r="F21" i="36"/>
  <c r="O14"/>
  <c r="E21" i="34"/>
  <c r="N20"/>
  <c r="O29" i="36"/>
  <c r="M21" i="34"/>
  <c r="M32" s="1"/>
  <c r="N10"/>
  <c r="N30"/>
  <c r="N31" s="1"/>
  <c r="L32"/>
  <c r="H32"/>
  <c r="I31" i="36"/>
  <c r="I32" s="1"/>
  <c r="J31"/>
  <c r="J32" s="1"/>
  <c r="M32"/>
  <c r="O55"/>
  <c r="C21"/>
  <c r="H31"/>
  <c r="H32" s="1"/>
  <c r="F31"/>
  <c r="E31" i="34"/>
  <c r="F31"/>
  <c r="F32" s="1"/>
  <c r="G31"/>
  <c r="G32" s="1"/>
  <c r="N21" l="1"/>
  <c r="N32" s="1"/>
  <c r="E32"/>
  <c r="F32" i="36"/>
  <c r="O21"/>
  <c r="G31"/>
  <c r="G32" s="1"/>
  <c r="O30"/>
  <c r="O31" s="1"/>
  <c r="C32"/>
  <c r="O32" l="1"/>
  <c r="C30" i="33"/>
  <c r="M53"/>
  <c r="C31" l="1"/>
  <c r="M30"/>
  <c r="C21"/>
  <c r="M55"/>
  <c r="K31"/>
  <c r="J31"/>
  <c r="L31"/>
  <c r="I31"/>
  <c r="H31"/>
  <c r="G31"/>
  <c r="K21"/>
  <c r="J21"/>
  <c r="I21"/>
  <c r="H20"/>
  <c r="H21" s="1"/>
  <c r="G20"/>
  <c r="G21" s="1"/>
  <c r="F20"/>
  <c r="F21" s="1"/>
  <c r="E20"/>
  <c r="E21" s="1"/>
  <c r="D20"/>
  <c r="D14"/>
  <c r="M14" s="1"/>
  <c r="L10"/>
  <c r="I32" l="1"/>
  <c r="D21"/>
  <c r="M20"/>
  <c r="L21"/>
  <c r="L32" s="1"/>
  <c r="M10"/>
  <c r="K32"/>
  <c r="J32"/>
  <c r="G32"/>
  <c r="E31"/>
  <c r="E32" s="1"/>
  <c r="F31"/>
  <c r="F32" s="1"/>
  <c r="C32"/>
  <c r="H32"/>
  <c r="D31"/>
  <c r="C20" i="32"/>
  <c r="C14"/>
  <c r="C21" s="1"/>
  <c r="D32" i="33" l="1"/>
  <c r="M21"/>
  <c r="C31" i="32"/>
  <c r="C32" s="1"/>
  <c r="M31" i="33"/>
  <c r="L44" i="32"/>
  <c r="L51" s="1"/>
  <c r="L53" s="1"/>
  <c r="J31"/>
  <c r="I31"/>
  <c r="K31"/>
  <c r="H31"/>
  <c r="J21"/>
  <c r="I21"/>
  <c r="H21"/>
  <c r="G20"/>
  <c r="G21" s="1"/>
  <c r="F20"/>
  <c r="F21" s="1"/>
  <c r="E20"/>
  <c r="E21" s="1"/>
  <c r="D20"/>
  <c r="D21" s="1"/>
  <c r="L19"/>
  <c r="L18"/>
  <c r="L17"/>
  <c r="L16"/>
  <c r="L15"/>
  <c r="L14"/>
  <c r="L13"/>
  <c r="L12"/>
  <c r="L11"/>
  <c r="K10"/>
  <c r="L10" s="1"/>
  <c r="K11" i="31"/>
  <c r="K12"/>
  <c r="K13"/>
  <c r="K14"/>
  <c r="K15"/>
  <c r="K16"/>
  <c r="K17"/>
  <c r="K18"/>
  <c r="K19"/>
  <c r="C20"/>
  <c r="C21" s="1"/>
  <c r="H32" i="32" l="1"/>
  <c r="M32" i="33"/>
  <c r="J32" i="32"/>
  <c r="K21"/>
  <c r="K32" s="1"/>
  <c r="F31"/>
  <c r="F32" s="1"/>
  <c r="E31"/>
  <c r="E32" s="1"/>
  <c r="D31"/>
  <c r="D32" s="1"/>
  <c r="I32"/>
  <c r="L20"/>
  <c r="L21" s="1"/>
  <c r="G31"/>
  <c r="G32" s="1"/>
  <c r="K44" i="31"/>
  <c r="I31"/>
  <c r="H31"/>
  <c r="J31"/>
  <c r="G31"/>
  <c r="I21"/>
  <c r="H21"/>
  <c r="G21"/>
  <c r="F20"/>
  <c r="F21" s="1"/>
  <c r="E20"/>
  <c r="E21" s="1"/>
  <c r="D20"/>
  <c r="J10"/>
  <c r="K10" s="1"/>
  <c r="J27" i="30"/>
  <c r="J28"/>
  <c r="J29"/>
  <c r="J26"/>
  <c r="J11"/>
  <c r="J12"/>
  <c r="J13"/>
  <c r="J14"/>
  <c r="J15"/>
  <c r="J16"/>
  <c r="J17"/>
  <c r="J18"/>
  <c r="J19"/>
  <c r="J44"/>
  <c r="J51" s="1"/>
  <c r="J53" s="1"/>
  <c r="H31"/>
  <c r="G31"/>
  <c r="I31"/>
  <c r="F31"/>
  <c r="H21"/>
  <c r="G21"/>
  <c r="F21"/>
  <c r="E20"/>
  <c r="E21" s="1"/>
  <c r="D20"/>
  <c r="D21" s="1"/>
  <c r="C20"/>
  <c r="C21" s="1"/>
  <c r="I10"/>
  <c r="J10" s="1"/>
  <c r="C20" i="29"/>
  <c r="C21" s="1"/>
  <c r="J20" i="30" l="1"/>
  <c r="J21" s="1"/>
  <c r="H32"/>
  <c r="G32"/>
  <c r="F32"/>
  <c r="L31" i="32"/>
  <c r="L32" s="1"/>
  <c r="K51" i="31"/>
  <c r="K53" s="1"/>
  <c r="C31"/>
  <c r="C32" s="1"/>
  <c r="K20"/>
  <c r="G32"/>
  <c r="J21"/>
  <c r="J32" s="1"/>
  <c r="D21"/>
  <c r="H32"/>
  <c r="I32"/>
  <c r="F31"/>
  <c r="F32" s="1"/>
  <c r="E31"/>
  <c r="E32" s="1"/>
  <c r="I21" i="30"/>
  <c r="I32" s="1"/>
  <c r="E31"/>
  <c r="E32" s="1"/>
  <c r="D31"/>
  <c r="D32" s="1"/>
  <c r="C31" i="29"/>
  <c r="C32" s="1"/>
  <c r="I26"/>
  <c r="I27"/>
  <c r="I28"/>
  <c r="I11"/>
  <c r="I12"/>
  <c r="I13"/>
  <c r="I14"/>
  <c r="I15"/>
  <c r="I16"/>
  <c r="I17"/>
  <c r="I18"/>
  <c r="I19"/>
  <c r="I44"/>
  <c r="I51" s="1"/>
  <c r="I53" s="1"/>
  <c r="G31"/>
  <c r="F31"/>
  <c r="H31"/>
  <c r="E31"/>
  <c r="G21"/>
  <c r="F21"/>
  <c r="E21"/>
  <c r="D20"/>
  <c r="I20" s="1"/>
  <c r="H10"/>
  <c r="H21" s="1"/>
  <c r="C20" i="28"/>
  <c r="G32" i="29" l="1"/>
  <c r="K31" i="31"/>
  <c r="K21"/>
  <c r="C31" i="30"/>
  <c r="C32" s="1"/>
  <c r="J30"/>
  <c r="J31" s="1"/>
  <c r="J32" s="1"/>
  <c r="D31" i="31"/>
  <c r="D32" s="1"/>
  <c r="I10" i="29"/>
  <c r="I21" s="1"/>
  <c r="E32"/>
  <c r="I30"/>
  <c r="I29"/>
  <c r="D21"/>
  <c r="F32"/>
  <c r="H32"/>
  <c r="D31"/>
  <c r="C31" i="28"/>
  <c r="H27"/>
  <c r="H28"/>
  <c r="H29"/>
  <c r="H26"/>
  <c r="C21"/>
  <c r="H11"/>
  <c r="H12"/>
  <c r="H13"/>
  <c r="H14"/>
  <c r="H15"/>
  <c r="H16"/>
  <c r="H17"/>
  <c r="H18"/>
  <c r="H19"/>
  <c r="H20"/>
  <c r="H44"/>
  <c r="H51" s="1"/>
  <c r="H53" s="1"/>
  <c r="G31"/>
  <c r="F31"/>
  <c r="E31"/>
  <c r="D31"/>
  <c r="F21"/>
  <c r="E21"/>
  <c r="D21"/>
  <c r="G10"/>
  <c r="H10" s="1"/>
  <c r="C21" i="27"/>
  <c r="I31" i="29" l="1"/>
  <c r="I32" s="1"/>
  <c r="F32" i="28"/>
  <c r="E32"/>
  <c r="H30"/>
  <c r="H31" s="1"/>
  <c r="K32" i="31"/>
  <c r="D32" i="29"/>
  <c r="C32" i="28"/>
  <c r="H21"/>
  <c r="D32"/>
  <c r="G21"/>
  <c r="G32" s="1"/>
  <c r="G27" i="27"/>
  <c r="G28"/>
  <c r="G29"/>
  <c r="G26"/>
  <c r="G11"/>
  <c r="G12"/>
  <c r="G13"/>
  <c r="G14"/>
  <c r="G15"/>
  <c r="G16"/>
  <c r="G17"/>
  <c r="G18"/>
  <c r="G19"/>
  <c r="G20"/>
  <c r="C31"/>
  <c r="C32" s="1"/>
  <c r="G44"/>
  <c r="G51" s="1"/>
  <c r="G53" s="1"/>
  <c r="E31"/>
  <c r="D31"/>
  <c r="E21"/>
  <c r="D21"/>
  <c r="F10"/>
  <c r="F21" s="1"/>
  <c r="C31" i="26"/>
  <c r="C21"/>
  <c r="F27"/>
  <c r="F28"/>
  <c r="F29"/>
  <c r="F26"/>
  <c r="F11"/>
  <c r="F12"/>
  <c r="F13"/>
  <c r="F14"/>
  <c r="F15"/>
  <c r="F16"/>
  <c r="F17"/>
  <c r="F18"/>
  <c r="F19"/>
  <c r="F20"/>
  <c r="F44"/>
  <c r="F51" s="1"/>
  <c r="F53" s="1"/>
  <c r="D31"/>
  <c r="F30"/>
  <c r="D21"/>
  <c r="E10"/>
  <c r="E21" s="1"/>
  <c r="C21" i="25"/>
  <c r="C31"/>
  <c r="G10" i="27" l="1"/>
  <c r="G21" s="1"/>
  <c r="C32" i="26"/>
  <c r="E32" i="27"/>
  <c r="D32"/>
  <c r="E31" i="26"/>
  <c r="E32" s="1"/>
  <c r="F10"/>
  <c r="F21" s="1"/>
  <c r="G30" i="27"/>
  <c r="G31" s="1"/>
  <c r="H32" i="28"/>
  <c r="D32" i="26"/>
  <c r="F31" i="27"/>
  <c r="F32" s="1"/>
  <c r="F31" i="26"/>
  <c r="C32" i="25"/>
  <c r="G32" i="27" l="1"/>
  <c r="F32" i="26"/>
  <c r="E27" i="25"/>
  <c r="E28"/>
  <c r="E29"/>
  <c r="E26"/>
  <c r="E11"/>
  <c r="E12"/>
  <c r="E13"/>
  <c r="E14"/>
  <c r="E15"/>
  <c r="E16"/>
  <c r="E17"/>
  <c r="E18"/>
  <c r="E19"/>
  <c r="E20"/>
  <c r="E44"/>
  <c r="E51" s="1"/>
  <c r="E53" s="1"/>
  <c r="E30"/>
  <c r="D10"/>
  <c r="D21" s="1"/>
  <c r="D31" l="1"/>
  <c r="D32" s="1"/>
  <c r="E10"/>
  <c r="E21" s="1"/>
  <c r="E31"/>
  <c r="D27" i="24"/>
  <c r="D28"/>
  <c r="D29"/>
  <c r="D30"/>
  <c r="D26"/>
  <c r="D11"/>
  <c r="D12"/>
  <c r="D13"/>
  <c r="D14"/>
  <c r="D15"/>
  <c r="D16"/>
  <c r="D17"/>
  <c r="D18"/>
  <c r="D19"/>
  <c r="D20"/>
  <c r="C10"/>
  <c r="D10" s="1"/>
  <c r="C44"/>
  <c r="C51" s="1"/>
  <c r="C53" s="1"/>
  <c r="C31"/>
  <c r="D18" i="23"/>
  <c r="D17"/>
  <c r="D16"/>
  <c r="C21" i="24" l="1"/>
  <c r="C32" s="1"/>
  <c r="E32" i="25"/>
  <c r="D31" i="24"/>
  <c r="D21"/>
  <c r="G13" i="23"/>
  <c r="G14"/>
  <c r="D30"/>
  <c r="D31" s="1"/>
  <c r="D21"/>
  <c r="C30"/>
  <c r="F11"/>
  <c r="D32" i="24" l="1"/>
  <c r="D32" i="23"/>
  <c r="C11"/>
  <c r="G11" l="1"/>
  <c r="C10"/>
  <c r="F10"/>
  <c r="G10" l="1"/>
  <c r="C44"/>
  <c r="C51" s="1"/>
  <c r="C31"/>
  <c r="C21"/>
  <c r="C29" i="22"/>
  <c r="C30" s="1"/>
  <c r="C45" i="21"/>
  <c r="C48" s="1"/>
  <c r="C45" i="22"/>
  <c r="C48" s="1"/>
  <c r="C42"/>
  <c r="C20"/>
  <c r="C50" l="1"/>
  <c r="C32" i="23"/>
  <c r="C53"/>
  <c r="C31" i="22"/>
  <c r="C29" i="21"/>
  <c r="C42" l="1"/>
  <c r="C30"/>
  <c r="C20"/>
  <c r="C50" l="1"/>
  <c r="C31"/>
  <c r="C42" i="20"/>
  <c r="C30"/>
  <c r="D22"/>
  <c r="C20"/>
  <c r="C42" i="19"/>
  <c r="C45" s="1"/>
  <c r="C30"/>
  <c r="D22"/>
  <c r="C20"/>
  <c r="C46" i="17"/>
  <c r="C45"/>
  <c r="C45" i="20" l="1"/>
  <c r="C48" s="1"/>
  <c r="C50" s="1"/>
  <c r="C31"/>
  <c r="C48" i="19"/>
  <c r="C50" s="1"/>
  <c r="C31"/>
  <c r="C29" i="18"/>
  <c r="C30" i="17"/>
  <c r="D19" i="18" l="1"/>
  <c r="C42"/>
  <c r="C45" s="1"/>
  <c r="C48" s="1"/>
  <c r="C50" s="1"/>
  <c r="C30"/>
  <c r="D22"/>
  <c r="C20"/>
  <c r="C48" i="17"/>
  <c r="C42"/>
  <c r="D28"/>
  <c r="D28" i="18" s="1"/>
  <c r="D22" i="17"/>
  <c r="C20"/>
  <c r="C31" s="1"/>
  <c r="C48" i="16"/>
  <c r="C42"/>
  <c r="C29"/>
  <c r="C30" s="1"/>
  <c r="D28"/>
  <c r="D27"/>
  <c r="D27" i="17" s="1"/>
  <c r="D27" i="18" s="1"/>
  <c r="D26" i="16"/>
  <c r="D26" i="17" s="1"/>
  <c r="D26" i="18" s="1"/>
  <c r="D25" i="16"/>
  <c r="D25" i="17" s="1"/>
  <c r="D22" i="16"/>
  <c r="C20"/>
  <c r="D17"/>
  <c r="D17" i="17" s="1"/>
  <c r="D17" i="18" s="1"/>
  <c r="C48" i="15"/>
  <c r="C42"/>
  <c r="C34"/>
  <c r="C29"/>
  <c r="C30" s="1"/>
  <c r="D28"/>
  <c r="D22"/>
  <c r="H19"/>
  <c r="E19"/>
  <c r="I18"/>
  <c r="I11" s="1"/>
  <c r="J11" s="1"/>
  <c r="D18" s="1"/>
  <c r="E17"/>
  <c r="I16"/>
  <c r="J16" s="1"/>
  <c r="D27" s="1"/>
  <c r="I15"/>
  <c r="I14"/>
  <c r="J14" s="1"/>
  <c r="D25" s="1"/>
  <c r="I10"/>
  <c r="J10" s="1"/>
  <c r="D16" s="1"/>
  <c r="C10"/>
  <c r="I9"/>
  <c r="J9" s="1"/>
  <c r="D15" s="1"/>
  <c r="C9"/>
  <c r="I8"/>
  <c r="J8" s="1"/>
  <c r="D14" s="1"/>
  <c r="I7"/>
  <c r="J7" s="1"/>
  <c r="D13" s="1"/>
  <c r="E13" s="1"/>
  <c r="I6"/>
  <c r="H6"/>
  <c r="I5"/>
  <c r="J5" s="1"/>
  <c r="D11" s="1"/>
  <c r="I4"/>
  <c r="H4"/>
  <c r="I3"/>
  <c r="H3"/>
  <c r="C47" i="14"/>
  <c r="C41"/>
  <c r="C28"/>
  <c r="C29" s="1"/>
  <c r="D27"/>
  <c r="D17" s="1"/>
  <c r="D26"/>
  <c r="D25"/>
  <c r="D24"/>
  <c r="D21"/>
  <c r="D16"/>
  <c r="D15"/>
  <c r="D14"/>
  <c r="D13"/>
  <c r="D12"/>
  <c r="C12"/>
  <c r="D11"/>
  <c r="D10"/>
  <c r="C10"/>
  <c r="D9"/>
  <c r="C9"/>
  <c r="C46" i="13"/>
  <c r="C45"/>
  <c r="C44"/>
  <c r="C47" s="1"/>
  <c r="C41"/>
  <c r="C33"/>
  <c r="D28"/>
  <c r="D27"/>
  <c r="C26"/>
  <c r="D26" s="1"/>
  <c r="D25"/>
  <c r="D24"/>
  <c r="D21"/>
  <c r="D18"/>
  <c r="D17"/>
  <c r="C16"/>
  <c r="D16" s="1"/>
  <c r="C15"/>
  <c r="D15" s="1"/>
  <c r="C14"/>
  <c r="D14" s="1"/>
  <c r="D13"/>
  <c r="C12"/>
  <c r="D11"/>
  <c r="D10"/>
  <c r="D9"/>
  <c r="J4" i="15" l="1"/>
  <c r="D10" s="1"/>
  <c r="C31" i="16"/>
  <c r="J6" i="15"/>
  <c r="D12" s="1"/>
  <c r="D12" i="16" s="1"/>
  <c r="D12" i="17" s="1"/>
  <c r="D12" i="18" s="1"/>
  <c r="C50" i="15"/>
  <c r="C29" i="13"/>
  <c r="D28" i="14"/>
  <c r="D29" s="1"/>
  <c r="D30" s="1"/>
  <c r="C49" i="13"/>
  <c r="D17" i="19"/>
  <c r="D17" i="20"/>
  <c r="D27" i="19"/>
  <c r="D27" i="20"/>
  <c r="D28" i="19"/>
  <c r="D28" i="20"/>
  <c r="D19" i="14"/>
  <c r="J18" i="15"/>
  <c r="D19" i="19"/>
  <c r="D19" i="20"/>
  <c r="D29" i="13"/>
  <c r="C49" i="14"/>
  <c r="C50" i="16"/>
  <c r="C50" i="17"/>
  <c r="J3" i="15"/>
  <c r="D9" s="1"/>
  <c r="E9" s="1"/>
  <c r="C20"/>
  <c r="C31" s="1"/>
  <c r="D26" i="19"/>
  <c r="D26" i="20"/>
  <c r="D11" i="17"/>
  <c r="D11" i="18" s="1"/>
  <c r="E11" i="15"/>
  <c r="D11" i="16"/>
  <c r="D14"/>
  <c r="D14" i="17" s="1"/>
  <c r="D14" i="18" s="1"/>
  <c r="E14" i="15"/>
  <c r="D10" i="16"/>
  <c r="D10" i="17" s="1"/>
  <c r="D10" i="18" s="1"/>
  <c r="E10" i="15"/>
  <c r="D16" i="16"/>
  <c r="D16" i="17" s="1"/>
  <c r="D16" i="18" s="1"/>
  <c r="E16" i="15"/>
  <c r="D25" i="18"/>
  <c r="E18" i="15"/>
  <c r="D18" i="16"/>
  <c r="D18" i="17" s="1"/>
  <c r="D18" i="18" s="1"/>
  <c r="D15" i="16"/>
  <c r="D15" i="17" s="1"/>
  <c r="D15" i="18" s="1"/>
  <c r="E15" i="15"/>
  <c r="C19" i="13"/>
  <c r="D12"/>
  <c r="D19" s="1"/>
  <c r="I19" i="15"/>
  <c r="J19" s="1"/>
  <c r="D29" s="1"/>
  <c r="D13" i="16"/>
  <c r="D13" i="17" s="1"/>
  <c r="D13" i="18" s="1"/>
  <c r="C19" i="14"/>
  <c r="C30" s="1"/>
  <c r="J15" i="15"/>
  <c r="D26" s="1"/>
  <c r="D29" i="17"/>
  <c r="D29" i="18" s="1"/>
  <c r="D30" i="16"/>
  <c r="C31" i="18"/>
  <c r="D9" i="16" l="1"/>
  <c r="D20" s="1"/>
  <c r="D31" s="1"/>
  <c r="E12" i="15"/>
  <c r="D30"/>
  <c r="D30" i="13"/>
  <c r="C30"/>
  <c r="D12" i="19"/>
  <c r="D12" i="20"/>
  <c r="D29" i="19"/>
  <c r="D29" i="20"/>
  <c r="D25" i="19"/>
  <c r="D25" i="20"/>
  <c r="D10" i="19"/>
  <c r="D10" i="20"/>
  <c r="D18" i="19"/>
  <c r="D18" i="20"/>
  <c r="D20" i="15"/>
  <c r="D31" s="1"/>
  <c r="D14" i="19"/>
  <c r="D14" i="20"/>
  <c r="D13" i="19"/>
  <c r="D13" i="20"/>
  <c r="D15" i="19"/>
  <c r="D15" i="20"/>
  <c r="D16" i="19"/>
  <c r="D16" i="20"/>
  <c r="D11" i="19"/>
  <c r="D11" i="20"/>
  <c r="D30" i="18"/>
  <c r="D30" i="17"/>
  <c r="D9" l="1"/>
  <c r="D9" i="18" s="1"/>
  <c r="D9" i="20" s="1"/>
  <c r="D20" s="1"/>
  <c r="D30" i="19"/>
  <c r="D30" i="20"/>
  <c r="D20" i="17" l="1"/>
  <c r="D31" s="1"/>
  <c r="D31" i="20"/>
  <c r="D9" i="19"/>
  <c r="D20" s="1"/>
  <c r="D31" s="1"/>
  <c r="D20" i="18"/>
  <c r="D31" s="1"/>
</calcChain>
</file>

<file path=xl/sharedStrings.xml><?xml version="1.0" encoding="utf-8"?>
<sst xmlns="http://schemas.openxmlformats.org/spreadsheetml/2006/main" count="1505" uniqueCount="257">
  <si>
    <t>RECEITAS E DESPESAS</t>
  </si>
  <si>
    <t>RECEITAS ARRECADADAS</t>
  </si>
  <si>
    <t>R$</t>
  </si>
  <si>
    <t>Contribuições Previdenciárias - Cota Patronal</t>
  </si>
  <si>
    <t>Contribuições Previdenciárias - Cota Segurados</t>
  </si>
  <si>
    <t>Aporte deficit Atuarial parcela 09/12</t>
  </si>
  <si>
    <t>Rendimentos Aplicação Financeira</t>
  </si>
  <si>
    <t>Comprev entre Regime Geral e IPREVE</t>
  </si>
  <si>
    <t>Outras Receitas</t>
  </si>
  <si>
    <t>TOTAL RECEITAS ARRECADADAS</t>
  </si>
  <si>
    <t>DESPESAS REALIZADAS</t>
  </si>
  <si>
    <t>Pagamento de Benefícios</t>
  </si>
  <si>
    <t>Diretoria (4)</t>
  </si>
  <si>
    <t>Pagamento de Compensação Previdenciária</t>
  </si>
  <si>
    <t>SUPERAVIT MENSAL</t>
  </si>
  <si>
    <t>RECURSOS FINANCEIROS</t>
  </si>
  <si>
    <t>SALDOS EM BANCOS</t>
  </si>
  <si>
    <t>( 01 ) - CONTAS CORRENTES</t>
  </si>
  <si>
    <t>Banco do Brasil C/C 110042-4</t>
  </si>
  <si>
    <t>Banco do Brasil C/C 6986-8</t>
  </si>
  <si>
    <t>Caixa C/C 20-6</t>
  </si>
  <si>
    <t>Caixa  C/C 50-8</t>
  </si>
  <si>
    <t>Caixa  C/C 90-7</t>
  </si>
  <si>
    <t>TOTAL EM CONTAS CORRENTES</t>
  </si>
  <si>
    <t>( 02 ) - APLICAÇÕES</t>
  </si>
  <si>
    <t>Caixa</t>
  </si>
  <si>
    <t>Banco do Brasil</t>
  </si>
  <si>
    <t>Banco Santos - Credit Yeld</t>
  </si>
  <si>
    <t>TOTAL EM APLICAÇÕES FINANCEIRAS</t>
  </si>
  <si>
    <t>( 01 ) + ( 02 ) = TOTAL SALDOS / BANCOS</t>
  </si>
  <si>
    <t>______________________________________________             ______________________________________________</t>
  </si>
  <si>
    <t>JANEIRO</t>
  </si>
  <si>
    <t>ACUMULADO 2021</t>
  </si>
  <si>
    <t>Aporte deficit Atuarial parcela 08/12</t>
  </si>
  <si>
    <t>Parcelamento - Acordo Cadprev 00890/2013 – 96/240 parcela</t>
  </si>
  <si>
    <t>Parcelamento - Acordo Cadprev 00155/2073 – 48/60 parcela</t>
  </si>
  <si>
    <t>Parcelamento - Acordo Cadprev 00223/2019 – 22/200 parcela</t>
  </si>
  <si>
    <t>Parcelamento - Acordo Cadprev 00225/2019 – 22/60 parcela</t>
  </si>
  <si>
    <t>Folha dos Aposentados – (123) aposentados</t>
  </si>
  <si>
    <t>Folha dos Pensionistas – (29) pensionistas</t>
  </si>
  <si>
    <t>Diretoria (5)</t>
  </si>
  <si>
    <t>Manutenção IPREVE - Despesas Administrativas</t>
  </si>
  <si>
    <t>Edivaldo Navarro Cachoeira                                                              Juliane da Silva Magalhães</t>
  </si>
  <si>
    <t xml:space="preserve">                 Diretor Presidente                                                              Diretora Administrativa e Financeira</t>
  </si>
  <si>
    <t>MARÇO</t>
  </si>
  <si>
    <t>JAN E FEV 2021</t>
  </si>
  <si>
    <t>Parcelamento - Acordo Cadprev 00890/2013 – 97/240 parcela</t>
  </si>
  <si>
    <t>Parcelamento - Acordo Cadprev 00155/2013 – 50/60 parcela</t>
  </si>
  <si>
    <t>Parcelamento - Acordo Cadprev 00223/2019 – 24/200 parcela</t>
  </si>
  <si>
    <t>Parcelamento - Acordo Cadprev 00225/2019 – 24/60 parcela</t>
  </si>
  <si>
    <t>Folha dos Aposentados – (127) aposentados</t>
  </si>
  <si>
    <t>JAN E FEV</t>
  </si>
  <si>
    <t>JAN A MAR</t>
  </si>
  <si>
    <t>ABRIL</t>
  </si>
  <si>
    <t>JAN A MAR 2021</t>
  </si>
  <si>
    <t>Parcelamento - Acordo Cadprev 00890/2013 – 98/240 parcela</t>
  </si>
  <si>
    <t>Parcelamento - Acordo Cadprev 00155/2013 – 51/60 parcela</t>
  </si>
  <si>
    <t>Parcelamento - Acordo Cadprev 00223/2019 – 25/200 parcela</t>
  </si>
  <si>
    <t>Parcelamento - Acordo Cadprev 00225/2019 – 25/60 parcela</t>
  </si>
  <si>
    <t>Parcelamento - Acordo Cadprev 00537/2021 – 01/60 parcela</t>
  </si>
  <si>
    <t>Folha dos Aposentados – (132) aposentados</t>
  </si>
  <si>
    <t>MAIO</t>
  </si>
  <si>
    <t>JAN A ABR 2021</t>
  </si>
  <si>
    <t>Parcelamento - Acordo Cadprev 00890/2013 – 99/240 parcela</t>
  </si>
  <si>
    <t>Parcelamento - Acordo Cadprev 00155/2013 – 52/60 parcela</t>
  </si>
  <si>
    <t>Parcelamento - Acordo Cadprev 00223/2019 – 26/200 parcela</t>
  </si>
  <si>
    <t>Parcelamento - Acordo Cadprev 00225/2019 – 26/60 parcela</t>
  </si>
  <si>
    <t>Parcelamento - Acordo Cadprev 00537/2021 – 02/60 parcela</t>
  </si>
  <si>
    <t>Folha dos Aposentados – (133) aposentados</t>
  </si>
  <si>
    <t>JUNHO</t>
  </si>
  <si>
    <t>JAN A MAI 2021</t>
  </si>
  <si>
    <t>Parcelamento - Acordo Cadprev 00890/2013 – 100/240 parcela</t>
  </si>
  <si>
    <t>Parcelamento - Acordo Cadprev 00155/2013 – 53/60 parcela</t>
  </si>
  <si>
    <t>Parcelamento - Acordo Cadprev 00223/2019 – 27/200 parcela</t>
  </si>
  <si>
    <t>Parcelamento - Acordo Cadprev 00225/2019 – 27/60 parcela</t>
  </si>
  <si>
    <t>Parcelamento - Acordo Cadprev 00537/2021 – 03/60 parcela</t>
  </si>
  <si>
    <t>Folha dos Aposentados – (136) aposentados</t>
  </si>
  <si>
    <t>JULHO</t>
  </si>
  <si>
    <t>JAN A JUN 2021</t>
  </si>
  <si>
    <t>Parcelamento - Acordo Cadprev 00890/2013 – 101/240 parcela</t>
  </si>
  <si>
    <t>Parcelamento - Acordo Cadprev 00155/2013 – 54/60 parcela</t>
  </si>
  <si>
    <t>Parcelamento - Acordo Cadprev 00223/2019 – 28/200 parcela</t>
  </si>
  <si>
    <t>Parcelamento - Acordo Cadprev 00225/2019 – 28/60 parcela</t>
  </si>
  <si>
    <t>Parcelamento - Acordo Cadprev 00537/2021 – 04/60 parcela</t>
  </si>
  <si>
    <t>TOTAL DESPESAS REALIZADAS</t>
  </si>
  <si>
    <t>AGOSTO</t>
  </si>
  <si>
    <t>JAN A JUL 2021</t>
  </si>
  <si>
    <t xml:space="preserve">               Diretor Presidente                                                            Diretora Administrativa e Financeira</t>
  </si>
  <si>
    <t>Folha dos Aposentados – (138) aposentados</t>
  </si>
  <si>
    <t>JAN A AGO 2021</t>
  </si>
  <si>
    <t>SETEMBRO</t>
  </si>
  <si>
    <t>Parcelamento - Acordo Cadprev 00890/2013 – 102/240 parcela</t>
  </si>
  <si>
    <t>Parcelamento - Acordo Cadprev 00155/2013 – 55/60 parcela</t>
  </si>
  <si>
    <t>Parcelamento - Acordo Cadprev 00223/2019 – 29/200 parcela</t>
  </si>
  <si>
    <t>Parcelamento - Acordo Cadprev 00225/2019 – 29/60 parcela</t>
  </si>
  <si>
    <t>Parcelamento - Acordo Cadprev 00537/2021 – 05/60 parcela</t>
  </si>
  <si>
    <t>Parcelamento - Acordo Cadprev 00890/2013 – 103/240 parcela</t>
  </si>
  <si>
    <t>Parcelamento - Acordo Cadprev 00155/2013 – 56/60 parcela</t>
  </si>
  <si>
    <t>Parcelamento - Acordo Cadprev 00223/2019 – 30/200 parcela</t>
  </si>
  <si>
    <t>Parcelamento - Acordo Cadprev 00225/2019 – 30/60 parcela</t>
  </si>
  <si>
    <t>Parcelamento - Acordo Cadprev 00537/2021 – 06/60 parcela</t>
  </si>
  <si>
    <t>OUTUBRO</t>
  </si>
  <si>
    <t xml:space="preserve">      Diretor Presidente                                    Diretora Administrativa e Financeira</t>
  </si>
  <si>
    <t>Parcelamento - Acordo Cadprev 00890/2013 – 104/240 parcela</t>
  </si>
  <si>
    <t>Parcelamento - Acordo Cadprev 00155/2013 – 57/60 parcela</t>
  </si>
  <si>
    <t>Parcelamento - Acordo Cadprev 00223/2019 – 31/200 parcela</t>
  </si>
  <si>
    <t>Parcelamento - Acordo Cadprev 00225/2019 – 31/60 parcela</t>
  </si>
  <si>
    <t>Parcelamento - Acordo Cadprev 00537/2021 – 07/60 parcela</t>
  </si>
  <si>
    <t>Folha dos Aposentados – (139) aposentados</t>
  </si>
  <si>
    <t>Diretoria (3)</t>
  </si>
  <si>
    <t>NOVEMBRO</t>
  </si>
  <si>
    <t>Parcelamento - Acordo Cadprev 00890/2013 – 105/240 parcela</t>
  </si>
  <si>
    <t>Parcelamento - Acordo Cadprev 00155/2013 – 58/60 parcela</t>
  </si>
  <si>
    <t>Parcelamento - Acordo Cadprev 00223/2019 – 32/200 parcela</t>
  </si>
  <si>
    <t>Parcelamento - Acordo Cadprev 00225/2019 – 32/60 parcela</t>
  </si>
  <si>
    <t>Parcelamento - Acordo Cadprev 00537/2021 – 08/60 parcela</t>
  </si>
  <si>
    <t>Folha dos Pensionistas – (30) pensionistas</t>
  </si>
  <si>
    <t xml:space="preserve">   Edivaldo Navarro Cachoeira                                    Juliane da Silva Magalhães</t>
  </si>
  <si>
    <t xml:space="preserve"> </t>
  </si>
  <si>
    <t>DEZEMBRO</t>
  </si>
  <si>
    <t>CONTRIBUIÇÕES E PARCELAMENTOS</t>
  </si>
  <si>
    <t>PAGAMENTO DE BENEFÍCIOS E SALÁRIOS</t>
  </si>
  <si>
    <t>Parcelamento - Acordo Cadprev 00890/2013 – 106/240 parcela</t>
  </si>
  <si>
    <t>Parcelamento - Acordo Cadprev 00155/2013 – 59/60 parcela</t>
  </si>
  <si>
    <t>Parcelamento - Acordo Cadprev 00223/2019 – 33/200 parcela</t>
  </si>
  <si>
    <t>Parcelamento - Acordo Cadprev 00225/2019 – 33/60 parcela</t>
  </si>
  <si>
    <t>Parcelamento - Acordo Cadprev 00537/2021 – 09/60 parcela</t>
  </si>
  <si>
    <t>RECEITAS ARRECADADAS (entradas bancárias)</t>
  </si>
  <si>
    <t>DESPESAS REALIZADAS (saídas bancárias)</t>
  </si>
  <si>
    <t>Folha do Instituto (4)</t>
  </si>
  <si>
    <t>Despesas Administrativas/Manutenção IPREVE</t>
  </si>
  <si>
    <t>Banco Itaú</t>
  </si>
  <si>
    <t>Itaú C/C</t>
  </si>
  <si>
    <t>Aporte deficit Atuarial parcela 1/12</t>
  </si>
  <si>
    <t>Aporte deficit Atuarial parcela 02/12</t>
  </si>
  <si>
    <t>Aporte deficit Atuarial parcela 03/12</t>
  </si>
  <si>
    <t>Aporte deficit Atuarial parcela 04/12</t>
  </si>
  <si>
    <t>Aporte deficit Atuarial parcela 05/12</t>
  </si>
  <si>
    <t>Aporte deficit Atuarial parcela 06/12</t>
  </si>
  <si>
    <t>Aporte deficit Atuarial parcela 07/12</t>
  </si>
  <si>
    <t>Aporte deficit Atuarial parcela 08/11</t>
  </si>
  <si>
    <t>Perdas</t>
  </si>
  <si>
    <t>Mês</t>
  </si>
  <si>
    <t>Parcelamento - Acordo Cadprev 00890/2013 – 107/240 parcela</t>
  </si>
  <si>
    <t>Parcelamento - Acordo Cadprev 00155/2013 – 60/60 parcela</t>
  </si>
  <si>
    <t>Parcelamento - Acordo Cadprev 00223/2019 – 34/200 parcela</t>
  </si>
  <si>
    <t>Parcelamento - Acordo Cadprev 00225/2019 – 34/60 parcela</t>
  </si>
  <si>
    <t>Parcelamento - Acordo Cadprev 00537/2021 – 10/60 parcela</t>
  </si>
  <si>
    <t>Aporte deficit Atuarial parcela 10/12</t>
  </si>
  <si>
    <t>Outras Receitas (Proc. Adm + Dev Diárias)</t>
  </si>
  <si>
    <t>Folha dos Pensionistas – (31) pensionistas</t>
  </si>
  <si>
    <t>FEVEREIRO</t>
  </si>
  <si>
    <t>Aporte deficit Atuarial parcela 11/12</t>
  </si>
  <si>
    <t>Parcelamento - Acordo Cadprev 00890/2013 – 108/240 parcela</t>
  </si>
  <si>
    <t>Parcelamento - Acordo Cadprev 00155/2013 – Pago</t>
  </si>
  <si>
    <t>Parcelamento - Acordo Cadprev 00223/2019 – 35/200 parcela</t>
  </si>
  <si>
    <t>Parcelamento - Acordo Cadprev 00225/2019 – 35/60 parcela</t>
  </si>
  <si>
    <t>Parcelamento - Acordo Cadprev 00537/2021 – 11/60 parcela</t>
  </si>
  <si>
    <t>SALDOS EM BANCOS FEVEREIRO</t>
  </si>
  <si>
    <t>Folha dos Aposentados – (141) aposentados</t>
  </si>
  <si>
    <t>Aporte deficit Atuarial parcela 12/12</t>
  </si>
  <si>
    <t>Parcelamento - Acordo Cadprev 00890/2013 – 109/240 parcela</t>
  </si>
  <si>
    <t>Parcelamento - Acordo Cadprev 00223/2019 – 36/200 parcela</t>
  </si>
  <si>
    <t>Parcelamento - Acordo Cadprev 00225/2019 – 36/60 parcela</t>
  </si>
  <si>
    <t>Parcelamento - Acordo Cadprev 00537/2021 – 12/60 parcela</t>
  </si>
  <si>
    <t>Folha dos Aposentados – (142) aposentados</t>
  </si>
  <si>
    <t>Aporte deficit Atuarial parcela 13</t>
  </si>
  <si>
    <t>Parcelamento - Acordo Cadprev 00890/2013 – 110/240 parcela</t>
  </si>
  <si>
    <t>Parcelamento - Acordo Cadprev 00223/2019 – 37/200 parcela</t>
  </si>
  <si>
    <t>Parcelamento - Acordo Cadprev 00225/2019 – 37/60 parcela</t>
  </si>
  <si>
    <t>Parcelamento - Acordo Cadprev 00537/2021 – 13/60 parcela</t>
  </si>
  <si>
    <t>Folha do Instituto (5)</t>
  </si>
  <si>
    <t>Folha dos Aposentados – (143) aposentados</t>
  </si>
  <si>
    <t>INSTITUTO DE PREVIDÊNCIA SOCIAL DOS SERVIDORES  PÚBLICOS DO MUNICÍPIO DE BARRA VELHA</t>
  </si>
  <si>
    <t>Parcelamento - Acordo Cadprev 00890/2013 – 111/240 parcela</t>
  </si>
  <si>
    <t>Parcelamento - Acordo Cadprev 00223/2019 – 38/200 parcela</t>
  </si>
  <si>
    <t>Parcelamento - Acordo Cadprev 00225/2019 – 38/60 parcela</t>
  </si>
  <si>
    <t>Parcelamento - Acordo Cadprev 00537/2021 – 14/60 parcela</t>
  </si>
  <si>
    <t>Comprev entre Regime Geral, IPREVE, Inst. Prev. Ctba</t>
  </si>
  <si>
    <t>Folha dos Aposentados – (145) aposentados</t>
  </si>
  <si>
    <t>Banco do Brasil C/C 110.042-4</t>
  </si>
  <si>
    <t>Banco do Brasil C/C 6.986-8</t>
  </si>
  <si>
    <t>Parcelamento - Acordo Cadprev 00890/2013 – 112/240 parcela</t>
  </si>
  <si>
    <t>Parcelamento - Acordo Cadprev 00223/2019 – 39/200 parcela</t>
  </si>
  <si>
    <t>Parcelamento - Acordo Cadprev 00225/2019 – 39/60 parcela</t>
  </si>
  <si>
    <t>Parcelamento - Acordo Cadprev 00537/2021 – 15/60 parcela</t>
  </si>
  <si>
    <t>Aporte deficit Atuarial parcela 12</t>
  </si>
  <si>
    <t>Aporte deficit Atuarial parcela 2/12</t>
  </si>
  <si>
    <t>Parcelamento - Acordo Cadprev 00890/2013 – 113/240 parcela</t>
  </si>
  <si>
    <t>Parcelamento - Acordo Cadprev 00537/2021 – 16/60 parcela</t>
  </si>
  <si>
    <t>Parcelamento - Acordo Cadprev 00223/2019 – 40/200 parcela</t>
  </si>
  <si>
    <t>Parcelamento - Acordo Cadprev 00225/2019 – 40/60 parcela</t>
  </si>
  <si>
    <t>Outras Receitas (Proc. Adm)</t>
  </si>
  <si>
    <t>Pagamento de Compensação Previdenciária (RGPS+RPPS)</t>
  </si>
  <si>
    <t>Aporte deficit Atuarial parcela 3/12</t>
  </si>
  <si>
    <t>Parcelamento - Acordo Cadprev 00890/2013 – 114/240 parcela</t>
  </si>
  <si>
    <t>Parcelamento - Acordo Cadprev 00223/2019 – 41/200 parcela</t>
  </si>
  <si>
    <t>Parcelamento - Acordo Cadprev 00225/2019 – 41/60 parcela</t>
  </si>
  <si>
    <t>Parcelamento - Acordo Cadprev 00537/2021 – 17/60 parcela</t>
  </si>
  <si>
    <t>Folha dos Aposentados – (144) aposentados</t>
  </si>
  <si>
    <t>NTN-B 15/08/2030 (Compra em 15/09/2022 Tx 5,7600)</t>
  </si>
  <si>
    <t>Aporte deficit Atuarial parcela 4/12</t>
  </si>
  <si>
    <t>Parcelamento - Acordo Cadprev 00890/2013 – 114 e 115/240 parcela</t>
  </si>
  <si>
    <t>Parcelamento - Acordo Cadprev 00223/2019 – 42/200 parcela</t>
  </si>
  <si>
    <t>Parcelamento - Acordo Cadprev 00225/2019 – 42/60 parcela</t>
  </si>
  <si>
    <t>Parcelamento - Acordo Cadprev 00537/2021 – 18/60 parcela</t>
  </si>
  <si>
    <t>NTN-B 15/05/2035 (Compra em 26/10/2022 Tx 5,7900)</t>
  </si>
  <si>
    <t>Folha dos Aposentados – (146) aposentados</t>
  </si>
  <si>
    <t>XP INVESTIMENTOS</t>
  </si>
  <si>
    <t>Parcelamento - Acordo Cadprev 00537/2021 – 20/60 parcela</t>
  </si>
  <si>
    <t>Parcelamento - Acordo Cadprev 00225/2019 – 44/60 parcela</t>
  </si>
  <si>
    <t>Parcelamento - Acordo Cadprev 00223/2019 – 44/200 parcela</t>
  </si>
  <si>
    <t>Parcelamento - Acordo Cadprev 00890/2013 – 117/240 parcela</t>
  </si>
  <si>
    <t>Aporte deficit Atuarial parcela7/12</t>
  </si>
  <si>
    <t>Aporte deficit Atuarial parcela 6/12</t>
  </si>
  <si>
    <t>Parcelamento - Acordo Cadprev 00890/2013 – 116/240 parcela</t>
  </si>
  <si>
    <t>Parcelamento - Acordo Cadprev 00223/2019 – 43/200 parcela</t>
  </si>
  <si>
    <t>Parcelamento - Acordo Cadprev 00225/2019 – 43/60 parcela</t>
  </si>
  <si>
    <t>Parcelamento - Acordo Cadprev 00537/2021 – 19/60 parcela</t>
  </si>
  <si>
    <t>Parcelamento - Acordo Cadprev 00890/2013 – 118/240 parcela</t>
  </si>
  <si>
    <t>Parcelamento - Acordo Cadprev 00223/2019 – 45/200 parcela</t>
  </si>
  <si>
    <t>Parcelamento - Acordo Cadprev 00225/2019 – 45/60 parcela</t>
  </si>
  <si>
    <t>Parcelamento - Acordo Cadprev 00537/2021 – 21/60 parcela</t>
  </si>
  <si>
    <t>Parcelamento - Acordo Cadprev 00223/2019 – 46/200 parcela</t>
  </si>
  <si>
    <t>Parcelamento - Acordo Cadprev 00225/2019 – 46/60 parcela</t>
  </si>
  <si>
    <t>Parcelamento - Acordo Cadprev 00537/2021 – 22/60 parcela</t>
  </si>
  <si>
    <t>Obs.: Não considera as transferencias e as despesas com vinculo 0150070000</t>
  </si>
  <si>
    <t>Parcelamento - Acordo Cadprev 00890/2013 – 119/240 parcela</t>
  </si>
  <si>
    <t>Folha dos Pensionistas – (32) pensionistas</t>
  </si>
  <si>
    <t>XP Investimentos C/C 81009-6</t>
  </si>
  <si>
    <t>Daycoval C/C 722351-1</t>
  </si>
  <si>
    <t>Itaú C/C 30843-1</t>
  </si>
  <si>
    <t>NTN-B 15/05/2045 (Compra em 17/02/2023 Tx 6,3550)</t>
  </si>
  <si>
    <t>Aporte deficit Atuarial parcela 8/12</t>
  </si>
  <si>
    <t>Daycoval</t>
  </si>
  <si>
    <t>NTN-B 15/05/2040 (Compra em 17/02/2023 Tx 6,3250)</t>
  </si>
  <si>
    <t>NTN-B 15/05/2027 (Compra em 25/10/2023 Tx 5,9400)</t>
  </si>
  <si>
    <t>NTN-B 15/05/2045 (Compra em 25/10/2023 Tx 5,9600)</t>
  </si>
  <si>
    <t>NTN-B 15/08/2028 (Compra em 25/10/2023 Tx 5,8800)</t>
  </si>
  <si>
    <t>NTN-B 15/08/2040 (Compra em 25/10/2023 Tx 5,9400)</t>
  </si>
  <si>
    <t>ACUMULADO</t>
  </si>
  <si>
    <t>DÉFICIT / SUPERÁVIT MENSAL</t>
  </si>
  <si>
    <t>IPREVE - INSTITUTO DE PREVIDÊNCIA SOCIAL DOS SERVIDORES PÚBLICOS DE BARRA VELHA</t>
  </si>
  <si>
    <t xml:space="preserve">Parcelamento - Acordo Cadprev 00225/2019 – Parc. 60/60 </t>
  </si>
  <si>
    <t>NTN-B 2030 (Compra em 22/03/2024)</t>
  </si>
  <si>
    <t>NTN-B 2029 (Compra em 22/03/2024)</t>
  </si>
  <si>
    <t>NTN-B 2035 (COMPRA EM 29/05/2024)</t>
  </si>
  <si>
    <t>NTN-B 2040 (COMPRA EM 29/05/2024)</t>
  </si>
  <si>
    <t>-</t>
  </si>
  <si>
    <t>Folha dos Pensionistas – (41) pensionistas</t>
  </si>
  <si>
    <t>Obs.: Considera as transferencias e as despesas com vinculo 0150070000</t>
  </si>
  <si>
    <t>Transferências Recebidas - Prefeitura</t>
  </si>
  <si>
    <t>PRESTAÇÃO DE CONTAS CONSELHOS - AGOSTO/2024</t>
  </si>
  <si>
    <t>Parcelamento - Acordo Cadprev 00890/2013 – Parc. 138/240</t>
  </si>
  <si>
    <t>Parcelamento - Acordo Cadprev 00223/2019 – Parc. 65/200</t>
  </si>
  <si>
    <t>Parcelamento - Acordo Cadprev 00537/2021 – Parc. 41/60</t>
  </si>
  <si>
    <t>Folha dos Aposentados – (159) aposentados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</si>
</sst>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&quot; &quot;#,##0.00;[Red]&quot;-&quot;[$R$-416]&quot; &quot;#,##0.00"/>
    <numFmt numFmtId="165" formatCode="[$$-409]#,##0.00;[Red]&quot;-&quot;[$$-409]#,##0.00"/>
    <numFmt numFmtId="166" formatCode="&quot; R$ &quot;#,##0.00&quot; &quot;;&quot; R$ &quot;&quot;(&quot;#,##0.00&quot;)&quot;;&quot; R$ &quot;&quot;-&quot;#&quot; &quot;;&quot; &quot;@&quot; &quot;"/>
    <numFmt numFmtId="167" formatCode="[$R$-416]\ #,##0.00;[Red][$R$-416]\ #,##0.00"/>
  </numFmts>
  <fonts count="44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1"/>
      <color rgb="FF808080"/>
      <name val="Calibri"/>
      <family val="2"/>
    </font>
    <font>
      <sz val="10"/>
      <color rgb="FFCC0000"/>
      <name val="Calibri"/>
      <family val="2"/>
    </font>
    <font>
      <i/>
      <sz val="11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sz val="14"/>
      <color rgb="FF000000"/>
      <name val="Liberation Sans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Liberation Sans1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Calibri"/>
      <family val="2"/>
    </font>
    <font>
      <sz val="11"/>
      <color rgb="FFFFFFFF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2"/>
      <color rgb="FF000000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sz val="12"/>
      <color rgb="FFFFFFFF"/>
      <name val="Calibri Light"/>
      <family val="2"/>
      <scheme val="major"/>
    </font>
    <font>
      <sz val="11"/>
      <color rgb="FFFF0000"/>
      <name val="Calibri"/>
      <family val="2"/>
    </font>
    <font>
      <sz val="10"/>
      <color rgb="FF000000"/>
      <name val="Arial"/>
      <family val="2"/>
    </font>
    <font>
      <sz val="11"/>
      <color rgb="FF9C5700"/>
      <name val="Calibri"/>
      <family val="2"/>
      <scheme val="minor"/>
    </font>
    <font>
      <sz val="13"/>
      <color rgb="FF000000"/>
      <name val="Arial Black"/>
      <family val="2"/>
    </font>
    <font>
      <sz val="12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name val="Calibri"/>
      <family val="2"/>
    </font>
    <font>
      <b/>
      <sz val="14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E6E6E6"/>
        <bgColor rgb="FFE6E6E6"/>
      </patternFill>
    </fill>
    <fill>
      <patternFill patternType="solid">
        <fgColor rgb="FFFFCCCC"/>
        <bgColor rgb="FFFFCCCC"/>
      </patternFill>
    </fill>
    <fill>
      <patternFill patternType="solid">
        <fgColor rgb="FFC7C7C7"/>
        <bgColor rgb="FFC7C7C7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CF00"/>
        <bgColor rgb="FFFFCF0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003366"/>
        <bgColor rgb="FF003366"/>
      </patternFill>
    </fill>
    <fill>
      <patternFill patternType="solid">
        <fgColor rgb="FF33CCCC"/>
        <bgColor rgb="FF33CCCC"/>
      </patternFill>
    </fill>
    <fill>
      <patternFill patternType="solid">
        <fgColor rgb="FF99CCFF"/>
        <bgColor rgb="FF99CCFF"/>
      </patternFill>
    </fill>
    <fill>
      <patternFill patternType="solid">
        <fgColor rgb="FFFFEB9C"/>
      </patternFill>
    </fill>
    <fill>
      <patternFill patternType="solid">
        <fgColor theme="0"/>
        <bgColor rgb="FF00336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rgb="FF4C4C4C"/>
      </bottom>
      <diagonal/>
    </border>
    <border>
      <left style="medium">
        <color rgb="FFE6E6E6"/>
      </left>
      <right/>
      <top/>
      <bottom style="medium">
        <color rgb="FF4C4C4C"/>
      </bottom>
      <diagonal/>
    </border>
    <border>
      <left/>
      <right style="medium">
        <color rgb="FF4C4C4C"/>
      </right>
      <top/>
      <bottom style="medium">
        <color rgb="FF4C4C4C"/>
      </bottom>
      <diagonal/>
    </border>
    <border>
      <left style="medium">
        <color rgb="FFE6E6E6"/>
      </left>
      <right/>
      <top/>
      <bottom/>
      <diagonal/>
    </border>
    <border>
      <left/>
      <right style="medium">
        <color rgb="FF4C4C4C"/>
      </right>
      <top/>
      <bottom/>
      <diagonal/>
    </border>
    <border>
      <left/>
      <right/>
      <top style="medium">
        <color rgb="FFE6E6E6"/>
      </top>
      <bottom/>
      <diagonal/>
    </border>
    <border>
      <left style="medium">
        <color rgb="FFE6E6E6"/>
      </left>
      <right/>
      <top style="medium">
        <color rgb="FFE6E6E6"/>
      </top>
      <bottom/>
      <diagonal/>
    </border>
    <border>
      <left/>
      <right style="medium">
        <color rgb="FF4C4C4C"/>
      </right>
      <top style="medium">
        <color rgb="FFE6E6E6"/>
      </top>
      <bottom/>
      <diagonal/>
    </border>
    <border>
      <left style="thin">
        <color rgb="FF808080"/>
      </left>
      <right style="double">
        <color rgb="FFB3B3B3"/>
      </right>
      <top style="thin">
        <color rgb="FF808080"/>
      </top>
      <bottom/>
      <diagonal/>
    </border>
    <border>
      <left style="medium">
        <color rgb="FFE6E6E6"/>
      </left>
      <right style="medium">
        <color rgb="FF4C4C4C"/>
      </right>
      <top style="medium">
        <color rgb="FFE6E6E6"/>
      </top>
      <bottom style="medium">
        <color rgb="FF4C4C4C"/>
      </bottom>
      <diagonal/>
    </border>
    <border>
      <left style="medium">
        <color rgb="FFE6E6E6"/>
      </left>
      <right style="medium">
        <color rgb="FF4C4C4C"/>
      </right>
      <top style="medium">
        <color rgb="FFE6E6E6"/>
      </top>
      <bottom style="thick">
        <color rgb="FFFFCF00"/>
      </bottom>
      <diagonal/>
    </border>
    <border>
      <left style="thin">
        <color rgb="FF000000"/>
      </left>
      <right style="double">
        <color rgb="FFC7C7C7"/>
      </right>
      <top style="thin">
        <color rgb="FF000000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double">
        <color rgb="FFC7C7C7"/>
      </right>
      <top style="thin">
        <color rgb="FF000000"/>
      </top>
      <bottom style="thin">
        <color rgb="FFE6E6E6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1" fillId="7" borderId="0">
      <alignment wrapText="1"/>
    </xf>
    <xf numFmtId="0" fontId="1" fillId="7" borderId="1">
      <alignment wrapText="1"/>
    </xf>
    <xf numFmtId="0" fontId="1" fillId="7" borderId="2">
      <alignment wrapText="1"/>
    </xf>
    <xf numFmtId="0" fontId="1" fillId="7" borderId="3">
      <alignment wrapText="1"/>
    </xf>
    <xf numFmtId="0" fontId="1" fillId="7" borderId="4">
      <alignment wrapText="1"/>
    </xf>
    <xf numFmtId="0" fontId="1" fillId="7" borderId="5">
      <alignment wrapText="1"/>
    </xf>
    <xf numFmtId="0" fontId="1" fillId="7" borderId="6">
      <alignment wrapText="1"/>
    </xf>
    <xf numFmtId="0" fontId="1" fillId="7" borderId="7">
      <alignment wrapText="1"/>
    </xf>
    <xf numFmtId="0" fontId="1" fillId="7" borderId="8">
      <alignment wrapText="1"/>
    </xf>
    <xf numFmtId="0" fontId="6" fillId="7" borderId="9">
      <alignment horizontal="center" wrapText="1"/>
    </xf>
    <xf numFmtId="0" fontId="7" fillId="8" borderId="0"/>
    <xf numFmtId="0" fontId="8" fillId="0" borderId="0"/>
    <xf numFmtId="0" fontId="9" fillId="9" borderId="0"/>
    <xf numFmtId="0" fontId="10" fillId="10" borderId="10">
      <alignment horizontal="center"/>
    </xf>
    <xf numFmtId="0" fontId="11" fillId="0" borderId="0"/>
    <xf numFmtId="0" fontId="12" fillId="0" borderId="0"/>
    <xf numFmtId="0" fontId="13" fillId="0" borderId="0"/>
    <xf numFmtId="0" fontId="14" fillId="10" borderId="11">
      <alignment horizontal="center"/>
    </xf>
    <xf numFmtId="0" fontId="15" fillId="0" borderId="0"/>
    <xf numFmtId="165" fontId="1" fillId="11" borderId="12">
      <protection locked="0"/>
    </xf>
    <xf numFmtId="0" fontId="16" fillId="12" borderId="0"/>
    <xf numFmtId="0" fontId="17" fillId="12" borderId="13"/>
    <xf numFmtId="165" fontId="1" fillId="5" borderId="14"/>
    <xf numFmtId="0" fontId="18" fillId="0" borderId="0"/>
    <xf numFmtId="164" fontId="19" fillId="5" borderId="14"/>
    <xf numFmtId="0" fontId="1" fillId="0" borderId="0"/>
    <xf numFmtId="0" fontId="1" fillId="0" borderId="0"/>
    <xf numFmtId="0" fontId="5" fillId="0" borderId="0"/>
    <xf numFmtId="0" fontId="28" fillId="0" borderId="0"/>
    <xf numFmtId="166" fontId="1" fillId="0" borderId="0"/>
    <xf numFmtId="0" fontId="29" fillId="0" borderId="0"/>
    <xf numFmtId="44" fontId="1" fillId="0" borderId="0" applyFont="0" applyFill="0" applyBorder="0" applyAlignment="0" applyProtection="0"/>
    <xf numFmtId="0" fontId="30" fillId="16" borderId="0" applyNumberFormat="0" applyBorder="0" applyAlignment="0" applyProtection="0"/>
    <xf numFmtId="43" fontId="1" fillId="0" borderId="0" applyFont="0" applyFill="0" applyBorder="0" applyAlignment="0" applyProtection="0"/>
  </cellStyleXfs>
  <cellXfs count="334">
    <xf numFmtId="0" fontId="0" fillId="0" borderId="0" xfId="0"/>
    <xf numFmtId="0" fontId="0" fillId="11" borderId="0" xfId="0" applyFill="1"/>
    <xf numFmtId="0" fontId="0" fillId="11" borderId="15" xfId="0" applyFill="1" applyBorder="1"/>
    <xf numFmtId="0" fontId="0" fillId="11" borderId="18" xfId="0" applyFill="1" applyBorder="1"/>
    <xf numFmtId="0" fontId="0" fillId="11" borderId="20" xfId="0" applyFill="1" applyBorder="1"/>
    <xf numFmtId="0" fontId="0" fillId="11" borderId="0" xfId="0" applyFill="1" applyAlignment="1">
      <alignment vertical="center"/>
    </xf>
    <xf numFmtId="0" fontId="0" fillId="0" borderId="0" xfId="0" applyAlignment="1">
      <alignment vertical="center"/>
    </xf>
    <xf numFmtId="49" fontId="20" fillId="14" borderId="24" xfId="0" applyNumberFormat="1" applyFont="1" applyFill="1" applyBorder="1" applyAlignment="1">
      <alignment horizontal="center"/>
    </xf>
    <xf numFmtId="0" fontId="0" fillId="0" borderId="24" xfId="0" applyBorder="1" applyAlignment="1">
      <alignment vertical="center"/>
    </xf>
    <xf numFmtId="0" fontId="19" fillId="15" borderId="24" xfId="0" applyFont="1" applyFill="1" applyBorder="1" applyAlignment="1">
      <alignment horizontal="center" vertical="center"/>
    </xf>
    <xf numFmtId="0" fontId="22" fillId="13" borderId="27" xfId="0" applyFont="1" applyFill="1" applyBorder="1" applyAlignment="1">
      <alignment horizontal="center" vertical="center"/>
    </xf>
    <xf numFmtId="0" fontId="19" fillId="15" borderId="23" xfId="0" applyFont="1" applyFill="1" applyBorder="1" applyAlignment="1">
      <alignment horizontal="center" vertical="center"/>
    </xf>
    <xf numFmtId="0" fontId="20" fillId="13" borderId="30" xfId="0" applyFont="1" applyFill="1" applyBorder="1" applyAlignment="1">
      <alignment horizontal="center" vertical="center"/>
    </xf>
    <xf numFmtId="164" fontId="0" fillId="11" borderId="16" xfId="0" applyNumberFormat="1" applyFill="1" applyBorder="1"/>
    <xf numFmtId="164" fontId="0" fillId="11" borderId="17" xfId="0" applyNumberFormat="1" applyFill="1" applyBorder="1"/>
    <xf numFmtId="164" fontId="0" fillId="11" borderId="0" xfId="0" applyNumberFormat="1" applyFill="1"/>
    <xf numFmtId="164" fontId="0" fillId="11" borderId="19" xfId="0" applyNumberFormat="1" applyFill="1" applyBorder="1"/>
    <xf numFmtId="164" fontId="0" fillId="11" borderId="21" xfId="0" applyNumberFormat="1" applyFill="1" applyBorder="1"/>
    <xf numFmtId="164" fontId="0" fillId="11" borderId="22" xfId="0" applyNumberFormat="1" applyFill="1" applyBorder="1"/>
    <xf numFmtId="0" fontId="19" fillId="11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9" fillId="11" borderId="0" xfId="0" applyFont="1" applyFill="1"/>
    <xf numFmtId="164" fontId="20" fillId="14" borderId="24" xfId="0" applyNumberFormat="1" applyFont="1" applyFill="1" applyBorder="1" applyAlignment="1">
      <alignment horizontal="center"/>
    </xf>
    <xf numFmtId="0" fontId="19" fillId="0" borderId="0" xfId="0" applyFont="1"/>
    <xf numFmtId="164" fontId="21" fillId="0" borderId="0" xfId="0" applyNumberFormat="1" applyFont="1" applyAlignment="1">
      <alignment horizontal="right" vertical="center"/>
    </xf>
    <xf numFmtId="164" fontId="0" fillId="0" borderId="24" xfId="0" applyNumberFormat="1" applyBorder="1" applyAlignment="1">
      <alignment horizontal="right" vertical="center"/>
    </xf>
    <xf numFmtId="0" fontId="20" fillId="14" borderId="24" xfId="0" applyFont="1" applyFill="1" applyBorder="1" applyAlignment="1">
      <alignment vertical="center"/>
    </xf>
    <xf numFmtId="164" fontId="20" fillId="14" borderId="24" xfId="0" applyNumberFormat="1" applyFont="1" applyFill="1" applyBorder="1" applyAlignment="1">
      <alignment horizontal="right" vertical="center"/>
    </xf>
    <xf numFmtId="164" fontId="19" fillId="15" borderId="24" xfId="0" applyNumberFormat="1" applyFont="1" applyFill="1" applyBorder="1" applyAlignment="1">
      <alignment horizontal="right"/>
    </xf>
    <xf numFmtId="164" fontId="0" fillId="0" borderId="25" xfId="0" applyNumberFormat="1" applyBorder="1" applyAlignment="1">
      <alignment horizontal="right" vertical="center"/>
    </xf>
    <xf numFmtId="0" fontId="20" fillId="14" borderId="25" xfId="0" applyFont="1" applyFill="1" applyBorder="1" applyAlignment="1">
      <alignment vertical="center"/>
    </xf>
    <xf numFmtId="164" fontId="20" fillId="14" borderId="25" xfId="0" applyNumberFormat="1" applyFont="1" applyFill="1" applyBorder="1" applyAlignment="1">
      <alignment horizontal="right" vertical="center"/>
    </xf>
    <xf numFmtId="0" fontId="19" fillId="11" borderId="26" xfId="0" applyFont="1" applyFill="1" applyBorder="1"/>
    <xf numFmtId="164" fontId="22" fillId="13" borderId="28" xfId="0" applyNumberFormat="1" applyFont="1" applyFill="1" applyBorder="1" applyAlignment="1">
      <alignment horizontal="right" vertical="center"/>
    </xf>
    <xf numFmtId="164" fontId="22" fillId="13" borderId="29" xfId="0" applyNumberFormat="1" applyFont="1" applyFill="1" applyBorder="1" applyAlignment="1">
      <alignment horizontal="right" vertical="center"/>
    </xf>
    <xf numFmtId="0" fontId="20" fillId="13" borderId="15" xfId="0" applyFont="1" applyFill="1" applyBorder="1" applyAlignment="1">
      <alignment horizontal="center" vertical="center"/>
    </xf>
    <xf numFmtId="164" fontId="20" fillId="13" borderId="17" xfId="0" applyNumberFormat="1" applyFont="1" applyFill="1" applyBorder="1" applyAlignment="1">
      <alignment horizontal="center" vertical="center"/>
    </xf>
    <xf numFmtId="164" fontId="19" fillId="11" borderId="0" xfId="0" applyNumberFormat="1" applyFont="1" applyFill="1"/>
    <xf numFmtId="164" fontId="19" fillId="15" borderId="23" xfId="0" applyNumberFormat="1" applyFont="1" applyFill="1" applyBorder="1" applyAlignment="1">
      <alignment horizontal="center"/>
    </xf>
    <xf numFmtId="164" fontId="19" fillId="15" borderId="24" xfId="0" applyNumberFormat="1" applyFont="1" applyFill="1" applyBorder="1" applyAlignment="1">
      <alignment horizontal="right" vertical="center"/>
    </xf>
    <xf numFmtId="164" fontId="19" fillId="15" borderId="24" xfId="0" applyNumberFormat="1" applyFont="1" applyFill="1" applyBorder="1" applyAlignment="1">
      <alignment horizontal="center"/>
    </xf>
    <xf numFmtId="164" fontId="0" fillId="0" borderId="0" xfId="0" applyNumberFormat="1"/>
    <xf numFmtId="164" fontId="20" fillId="13" borderId="24" xfId="0" applyNumberFormat="1" applyFont="1" applyFill="1" applyBorder="1" applyAlignment="1">
      <alignment horizontal="right" vertical="center"/>
    </xf>
    <xf numFmtId="0" fontId="21" fillId="11" borderId="15" xfId="0" applyFont="1" applyFill="1" applyBorder="1"/>
    <xf numFmtId="164" fontId="21" fillId="11" borderId="16" xfId="0" applyNumberFormat="1" applyFont="1" applyFill="1" applyBorder="1"/>
    <xf numFmtId="164" fontId="21" fillId="11" borderId="17" xfId="0" applyNumberFormat="1" applyFont="1" applyFill="1" applyBorder="1"/>
    <xf numFmtId="0" fontId="21" fillId="11" borderId="18" xfId="0" applyFont="1" applyFill="1" applyBorder="1"/>
    <xf numFmtId="164" fontId="21" fillId="11" borderId="0" xfId="0" applyNumberFormat="1" applyFont="1" applyFill="1"/>
    <xf numFmtId="164" fontId="21" fillId="11" borderId="19" xfId="0" applyNumberFormat="1" applyFont="1" applyFill="1" applyBorder="1"/>
    <xf numFmtId="0" fontId="21" fillId="11" borderId="20" xfId="0" applyFont="1" applyFill="1" applyBorder="1"/>
    <xf numFmtId="164" fontId="21" fillId="11" borderId="21" xfId="0" applyNumberFormat="1" applyFont="1" applyFill="1" applyBorder="1"/>
    <xf numFmtId="164" fontId="21" fillId="11" borderId="22" xfId="0" applyNumberFormat="1" applyFont="1" applyFill="1" applyBorder="1"/>
    <xf numFmtId="49" fontId="7" fillId="14" borderId="24" xfId="0" applyNumberFormat="1" applyFont="1" applyFill="1" applyBorder="1" applyAlignment="1">
      <alignment horizontal="center"/>
    </xf>
    <xf numFmtId="164" fontId="7" fillId="14" borderId="24" xfId="0" applyNumberFormat="1" applyFont="1" applyFill="1" applyBorder="1" applyAlignment="1">
      <alignment horizontal="center"/>
    </xf>
    <xf numFmtId="0" fontId="21" fillId="0" borderId="24" xfId="0" applyFont="1" applyBorder="1" applyAlignment="1">
      <alignment vertical="center"/>
    </xf>
    <xf numFmtId="164" fontId="21" fillId="0" borderId="24" xfId="0" applyNumberFormat="1" applyFont="1" applyBorder="1" applyAlignment="1">
      <alignment horizontal="right" vertical="center"/>
    </xf>
    <xf numFmtId="0" fontId="7" fillId="14" borderId="24" xfId="0" applyFont="1" applyFill="1" applyBorder="1" applyAlignment="1">
      <alignment vertical="center"/>
    </xf>
    <xf numFmtId="164" fontId="7" fillId="14" borderId="24" xfId="0" applyNumberFormat="1" applyFont="1" applyFill="1" applyBorder="1" applyAlignment="1">
      <alignment horizontal="right" vertical="center"/>
    </xf>
    <xf numFmtId="0" fontId="21" fillId="11" borderId="0" xfId="0" applyFont="1" applyFill="1"/>
    <xf numFmtId="49" fontId="7" fillId="14" borderId="24" xfId="0" applyNumberFormat="1" applyFont="1" applyFill="1" applyBorder="1" applyAlignment="1">
      <alignment horizontal="center" vertical="center"/>
    </xf>
    <xf numFmtId="164" fontId="7" fillId="14" borderId="24" xfId="0" applyNumberFormat="1" applyFont="1" applyFill="1" applyBorder="1" applyAlignment="1">
      <alignment horizontal="center" vertical="center"/>
    </xf>
    <xf numFmtId="0" fontId="2" fillId="15" borderId="24" xfId="0" applyFont="1" applyFill="1" applyBorder="1" applyAlignment="1">
      <alignment horizontal="center" vertical="center"/>
    </xf>
    <xf numFmtId="164" fontId="2" fillId="0" borderId="24" xfId="0" applyNumberFormat="1" applyFont="1" applyBorder="1" applyAlignment="1">
      <alignment horizontal="right"/>
    </xf>
    <xf numFmtId="164" fontId="21" fillId="0" borderId="25" xfId="0" applyNumberFormat="1" applyFont="1" applyBorder="1" applyAlignment="1">
      <alignment horizontal="right" vertical="center"/>
    </xf>
    <xf numFmtId="0" fontId="7" fillId="14" borderId="25" xfId="0" applyFont="1" applyFill="1" applyBorder="1" applyAlignment="1">
      <alignment vertical="center"/>
    </xf>
    <xf numFmtId="164" fontId="7" fillId="14" borderId="25" xfId="0" applyNumberFormat="1" applyFont="1" applyFill="1" applyBorder="1" applyAlignment="1">
      <alignment horizontal="right" vertical="center"/>
    </xf>
    <xf numFmtId="0" fontId="7" fillId="13" borderId="27" xfId="0" applyFont="1" applyFill="1" applyBorder="1" applyAlignment="1">
      <alignment horizontal="center" vertical="center"/>
    </xf>
    <xf numFmtId="164" fontId="7" fillId="13" borderId="28" xfId="0" applyNumberFormat="1" applyFont="1" applyFill="1" applyBorder="1" applyAlignment="1">
      <alignment horizontal="right" vertical="center"/>
    </xf>
    <xf numFmtId="164" fontId="7" fillId="13" borderId="29" xfId="0" applyNumberFormat="1" applyFont="1" applyFill="1" applyBorder="1" applyAlignment="1">
      <alignment horizontal="right" vertical="center"/>
    </xf>
    <xf numFmtId="0" fontId="7" fillId="13" borderId="15" xfId="0" applyFont="1" applyFill="1" applyBorder="1" applyAlignment="1">
      <alignment horizontal="center" vertical="center"/>
    </xf>
    <xf numFmtId="164" fontId="7" fillId="13" borderId="17" xfId="0" applyNumberFormat="1" applyFont="1" applyFill="1" applyBorder="1" applyAlignment="1">
      <alignment horizontal="center" vertical="center"/>
    </xf>
    <xf numFmtId="164" fontId="2" fillId="11" borderId="0" xfId="0" applyNumberFormat="1" applyFont="1" applyFill="1"/>
    <xf numFmtId="0" fontId="2" fillId="15" borderId="23" xfId="0" applyFont="1" applyFill="1" applyBorder="1" applyAlignment="1">
      <alignment horizontal="center" vertical="center"/>
    </xf>
    <xf numFmtId="164" fontId="2" fillId="15" borderId="23" xfId="0" applyNumberFormat="1" applyFont="1" applyFill="1" applyBorder="1" applyAlignment="1">
      <alignment horizontal="center"/>
    </xf>
    <xf numFmtId="164" fontId="2" fillId="15" borderId="24" xfId="0" applyNumberFormat="1" applyFont="1" applyFill="1" applyBorder="1" applyAlignment="1">
      <alignment horizontal="right" vertical="center"/>
    </xf>
    <xf numFmtId="164" fontId="2" fillId="15" borderId="24" xfId="0" applyNumberFormat="1" applyFont="1" applyFill="1" applyBorder="1" applyAlignment="1">
      <alignment horizontal="center"/>
    </xf>
    <xf numFmtId="0" fontId="21" fillId="0" borderId="0" xfId="0" applyFont="1"/>
    <xf numFmtId="164" fontId="21" fillId="0" borderId="0" xfId="0" applyNumberFormat="1" applyFont="1"/>
    <xf numFmtId="0" fontId="7" fillId="13" borderId="30" xfId="0" applyFont="1" applyFill="1" applyBorder="1" applyAlignment="1">
      <alignment horizontal="center" vertical="center"/>
    </xf>
    <xf numFmtId="164" fontId="7" fillId="13" borderId="24" xfId="0" applyNumberFormat="1" applyFont="1" applyFill="1" applyBorder="1" applyAlignment="1">
      <alignment horizontal="right" vertical="center"/>
    </xf>
    <xf numFmtId="0" fontId="21" fillId="11" borderId="15" xfId="0" applyFont="1" applyFill="1" applyBorder="1" applyAlignment="1">
      <alignment vertical="center"/>
    </xf>
    <xf numFmtId="164" fontId="21" fillId="11" borderId="16" xfId="0" applyNumberFormat="1" applyFont="1" applyFill="1" applyBorder="1" applyAlignment="1">
      <alignment vertical="center"/>
    </xf>
    <xf numFmtId="164" fontId="21" fillId="11" borderId="17" xfId="0" applyNumberFormat="1" applyFont="1" applyFill="1" applyBorder="1" applyAlignment="1">
      <alignment vertical="center"/>
    </xf>
    <xf numFmtId="164" fontId="23" fillId="0" borderId="24" xfId="0" applyNumberFormat="1" applyFont="1" applyBorder="1" applyAlignment="1">
      <alignment horizontal="center" vertical="center"/>
    </xf>
    <xf numFmtId="0" fontId="21" fillId="11" borderId="18" xfId="0" applyFont="1" applyFill="1" applyBorder="1" applyAlignment="1">
      <alignment vertical="center"/>
    </xf>
    <xf numFmtId="164" fontId="21" fillId="11" borderId="0" xfId="0" applyNumberFormat="1" applyFont="1" applyFill="1" applyAlignment="1">
      <alignment vertical="center"/>
    </xf>
    <xf numFmtId="164" fontId="21" fillId="11" borderId="19" xfId="0" applyNumberFormat="1" applyFont="1" applyFill="1" applyBorder="1" applyAlignment="1">
      <alignment vertical="center"/>
    </xf>
    <xf numFmtId="0" fontId="23" fillId="0" borderId="24" xfId="0" applyFont="1" applyBorder="1" applyAlignment="1">
      <alignment horizontal="center" vertical="center"/>
    </xf>
    <xf numFmtId="0" fontId="21" fillId="11" borderId="20" xfId="0" applyFont="1" applyFill="1" applyBorder="1" applyAlignment="1">
      <alignment vertical="center"/>
    </xf>
    <xf numFmtId="164" fontId="21" fillId="11" borderId="21" xfId="0" applyNumberFormat="1" applyFont="1" applyFill="1" applyBorder="1" applyAlignment="1">
      <alignment vertical="center"/>
    </xf>
    <xf numFmtId="164" fontId="21" fillId="11" borderId="22" xfId="0" applyNumberFormat="1" applyFont="1" applyFill="1" applyBorder="1" applyAlignment="1">
      <alignment vertical="center"/>
    </xf>
    <xf numFmtId="164" fontId="0" fillId="11" borderId="0" xfId="0" applyNumberFormat="1" applyFill="1" applyAlignment="1">
      <alignment vertical="center"/>
    </xf>
    <xf numFmtId="164" fontId="24" fillId="0" borderId="24" xfId="0" applyNumberFormat="1" applyFont="1" applyBorder="1" applyAlignment="1">
      <alignment horizontal="center" vertical="center"/>
    </xf>
    <xf numFmtId="0" fontId="21" fillId="11" borderId="0" xfId="0" applyFont="1" applyFill="1" applyAlignment="1">
      <alignment vertical="center"/>
    </xf>
    <xf numFmtId="164" fontId="2" fillId="0" borderId="24" xfId="0" applyNumberFormat="1" applyFont="1" applyBorder="1" applyAlignment="1">
      <alignment horizontal="right" vertical="center"/>
    </xf>
    <xf numFmtId="164" fontId="19" fillId="11" borderId="0" xfId="0" applyNumberFormat="1" applyFont="1" applyFill="1" applyAlignment="1">
      <alignment vertical="center"/>
    </xf>
    <xf numFmtId="164" fontId="2" fillId="11" borderId="0" xfId="0" applyNumberFormat="1" applyFont="1" applyFill="1" applyAlignment="1">
      <alignment vertical="center"/>
    </xf>
    <xf numFmtId="164" fontId="2" fillId="15" borderId="23" xfId="0" applyNumberFormat="1" applyFont="1" applyFill="1" applyBorder="1" applyAlignment="1">
      <alignment horizontal="center" vertical="center"/>
    </xf>
    <xf numFmtId="164" fontId="2" fillId="15" borderId="24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2" fillId="11" borderId="17" xfId="0" applyNumberFormat="1" applyFont="1" applyFill="1" applyBorder="1" applyAlignment="1">
      <alignment vertical="center"/>
    </xf>
    <xf numFmtId="164" fontId="2" fillId="11" borderId="19" xfId="0" applyNumberFormat="1" applyFont="1" applyFill="1" applyBorder="1" applyAlignment="1">
      <alignment vertical="center"/>
    </xf>
    <xf numFmtId="164" fontId="2" fillId="11" borderId="22" xfId="0" applyNumberFormat="1" applyFont="1" applyFill="1" applyBorder="1" applyAlignment="1">
      <alignment vertical="center"/>
    </xf>
    <xf numFmtId="0" fontId="19" fillId="11" borderId="26" xfId="0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5" fillId="11" borderId="0" xfId="0" applyFont="1" applyFill="1" applyAlignment="1">
      <alignment vertical="center"/>
    </xf>
    <xf numFmtId="164" fontId="25" fillId="11" borderId="16" xfId="0" applyNumberFormat="1" applyFont="1" applyFill="1" applyBorder="1" applyAlignment="1">
      <alignment vertical="center"/>
    </xf>
    <xf numFmtId="0" fontId="25" fillId="0" borderId="0" xfId="0" applyFont="1"/>
    <xf numFmtId="164" fontId="25" fillId="11" borderId="0" xfId="0" applyNumberFormat="1" applyFont="1" applyFill="1" applyAlignment="1">
      <alignment vertical="center"/>
    </xf>
    <xf numFmtId="164" fontId="25" fillId="11" borderId="21" xfId="0" applyNumberFormat="1" applyFont="1" applyFill="1" applyBorder="1" applyAlignment="1">
      <alignment vertical="center"/>
    </xf>
    <xf numFmtId="0" fontId="26" fillId="11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49" fontId="27" fillId="14" borderId="24" xfId="0" applyNumberFormat="1" applyFont="1" applyFill="1" applyBorder="1" applyAlignment="1">
      <alignment horizontal="center" vertical="center"/>
    </xf>
    <xf numFmtId="0" fontId="25" fillId="0" borderId="24" xfId="0" applyFont="1" applyBorder="1" applyAlignment="1">
      <alignment vertical="center"/>
    </xf>
    <xf numFmtId="164" fontId="25" fillId="0" borderId="24" xfId="0" applyNumberFormat="1" applyFont="1" applyBorder="1" applyAlignment="1">
      <alignment horizontal="right" vertical="center"/>
    </xf>
    <xf numFmtId="0" fontId="27" fillId="14" borderId="24" xfId="0" applyFont="1" applyFill="1" applyBorder="1" applyAlignment="1">
      <alignment vertical="center"/>
    </xf>
    <xf numFmtId="164" fontId="27" fillId="14" borderId="24" xfId="0" applyNumberFormat="1" applyFont="1" applyFill="1" applyBorder="1" applyAlignment="1">
      <alignment horizontal="right" vertical="center"/>
    </xf>
    <xf numFmtId="0" fontId="26" fillId="15" borderId="24" xfId="0" applyFont="1" applyFill="1" applyBorder="1" applyAlignment="1">
      <alignment horizontal="center" vertical="center"/>
    </xf>
    <xf numFmtId="164" fontId="25" fillId="0" borderId="25" xfId="0" applyNumberFormat="1" applyFont="1" applyBorder="1" applyAlignment="1">
      <alignment horizontal="right" vertical="center"/>
    </xf>
    <xf numFmtId="0" fontId="27" fillId="14" borderId="25" xfId="0" applyFont="1" applyFill="1" applyBorder="1" applyAlignment="1">
      <alignment vertical="center"/>
    </xf>
    <xf numFmtId="164" fontId="27" fillId="14" borderId="25" xfId="0" applyNumberFormat="1" applyFont="1" applyFill="1" applyBorder="1" applyAlignment="1">
      <alignment horizontal="right" vertical="center"/>
    </xf>
    <xf numFmtId="0" fontId="26" fillId="11" borderId="26" xfId="0" applyFont="1" applyFill="1" applyBorder="1" applyAlignment="1">
      <alignment vertical="center"/>
    </xf>
    <xf numFmtId="0" fontId="27" fillId="13" borderId="27" xfId="0" applyFont="1" applyFill="1" applyBorder="1" applyAlignment="1">
      <alignment horizontal="center" vertical="center"/>
    </xf>
    <xf numFmtId="164" fontId="27" fillId="13" borderId="28" xfId="0" applyNumberFormat="1" applyFont="1" applyFill="1" applyBorder="1" applyAlignment="1">
      <alignment horizontal="right" vertical="center"/>
    </xf>
    <xf numFmtId="0" fontId="27" fillId="13" borderId="15" xfId="0" applyFont="1" applyFill="1" applyBorder="1" applyAlignment="1">
      <alignment horizontal="center" vertical="center"/>
    </xf>
    <xf numFmtId="164" fontId="27" fillId="13" borderId="17" xfId="0" applyNumberFormat="1" applyFont="1" applyFill="1" applyBorder="1" applyAlignment="1">
      <alignment horizontal="center" vertical="center"/>
    </xf>
    <xf numFmtId="0" fontId="26" fillId="15" borderId="23" xfId="0" applyFont="1" applyFill="1" applyBorder="1" applyAlignment="1">
      <alignment horizontal="center" vertical="center"/>
    </xf>
    <xf numFmtId="164" fontId="26" fillId="15" borderId="23" xfId="0" applyNumberFormat="1" applyFont="1" applyFill="1" applyBorder="1" applyAlignment="1">
      <alignment horizontal="center" vertical="center"/>
    </xf>
    <xf numFmtId="164" fontId="26" fillId="15" borderId="24" xfId="0" applyNumberFormat="1" applyFont="1" applyFill="1" applyBorder="1" applyAlignment="1">
      <alignment horizontal="right" vertical="center"/>
    </xf>
    <xf numFmtId="164" fontId="26" fillId="15" borderId="24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164" fontId="25" fillId="0" borderId="0" xfId="0" applyNumberFormat="1" applyFont="1" applyAlignment="1">
      <alignment vertical="center"/>
    </xf>
    <xf numFmtId="0" fontId="27" fillId="13" borderId="30" xfId="0" applyFont="1" applyFill="1" applyBorder="1" applyAlignment="1">
      <alignment horizontal="center" vertical="center"/>
    </xf>
    <xf numFmtId="164" fontId="27" fillId="13" borderId="24" xfId="0" applyNumberFormat="1" applyFont="1" applyFill="1" applyBorder="1" applyAlignment="1">
      <alignment horizontal="right" vertical="center"/>
    </xf>
    <xf numFmtId="164" fontId="25" fillId="0" borderId="23" xfId="0" applyNumberFormat="1" applyFont="1" applyBorder="1" applyAlignment="1">
      <alignment horizontal="right" vertical="center"/>
    </xf>
    <xf numFmtId="0" fontId="25" fillId="0" borderId="30" xfId="0" applyFont="1" applyBorder="1" applyAlignment="1">
      <alignment vertical="center"/>
    </xf>
    <xf numFmtId="164" fontId="27" fillId="14" borderId="25" xfId="0" applyNumberFormat="1" applyFont="1" applyFill="1" applyBorder="1" applyAlignment="1">
      <alignment horizontal="center" vertical="center"/>
    </xf>
    <xf numFmtId="164" fontId="25" fillId="0" borderId="32" xfId="0" applyNumberFormat="1" applyFont="1" applyBorder="1" applyAlignment="1">
      <alignment horizontal="right" vertical="center"/>
    </xf>
    <xf numFmtId="0" fontId="27" fillId="13" borderId="23" xfId="0" applyFont="1" applyFill="1" applyBorder="1" applyAlignment="1">
      <alignment horizontal="center" vertical="center"/>
    </xf>
    <xf numFmtId="0" fontId="26" fillId="11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167" fontId="25" fillId="11" borderId="0" xfId="0" applyNumberFormat="1" applyFont="1" applyFill="1" applyAlignment="1">
      <alignment vertical="center"/>
    </xf>
    <xf numFmtId="44" fontId="25" fillId="11" borderId="0" xfId="38" applyFont="1" applyFill="1" applyBorder="1" applyAlignment="1">
      <alignment vertical="center"/>
    </xf>
    <xf numFmtId="44" fontId="26" fillId="11" borderId="0" xfId="38" applyFont="1" applyFill="1" applyAlignment="1">
      <alignment horizontal="center" vertical="center"/>
    </xf>
    <xf numFmtId="44" fontId="26" fillId="11" borderId="0" xfId="38" applyFont="1" applyFill="1" applyAlignment="1">
      <alignment vertical="center"/>
    </xf>
    <xf numFmtId="44" fontId="25" fillId="11" borderId="0" xfId="38" applyFont="1" applyFill="1" applyAlignment="1">
      <alignment vertical="center"/>
    </xf>
    <xf numFmtId="44" fontId="25" fillId="0" borderId="0" xfId="38" applyFont="1"/>
    <xf numFmtId="44" fontId="30" fillId="16" borderId="0" xfId="39" applyNumberFormat="1" applyAlignment="1">
      <alignment vertical="center"/>
    </xf>
    <xf numFmtId="164" fontId="25" fillId="11" borderId="0" xfId="0" applyNumberFormat="1" applyFont="1" applyFill="1" applyAlignment="1">
      <alignment horizontal="right" vertical="center"/>
    </xf>
    <xf numFmtId="0" fontId="1" fillId="0" borderId="0" xfId="33"/>
    <xf numFmtId="167" fontId="1" fillId="0" borderId="0" xfId="33" applyNumberFormat="1"/>
    <xf numFmtId="0" fontId="26" fillId="15" borderId="30" xfId="0" applyFont="1" applyFill="1" applyBorder="1" applyAlignment="1">
      <alignment horizontal="center" vertical="center"/>
    </xf>
    <xf numFmtId="164" fontId="26" fillId="15" borderId="33" xfId="0" applyNumberFormat="1" applyFont="1" applyFill="1" applyBorder="1" applyAlignment="1">
      <alignment vertical="center"/>
    </xf>
    <xf numFmtId="164" fontId="25" fillId="0" borderId="33" xfId="0" applyNumberFormat="1" applyFont="1" applyBorder="1" applyAlignment="1">
      <alignment vertical="center"/>
    </xf>
    <xf numFmtId="164" fontId="27" fillId="13" borderId="33" xfId="0" applyNumberFormat="1" applyFont="1" applyFill="1" applyBorder="1" applyAlignment="1">
      <alignment vertical="center"/>
    </xf>
    <xf numFmtId="0" fontId="25" fillId="11" borderId="18" xfId="0" applyFont="1" applyFill="1" applyBorder="1" applyAlignment="1">
      <alignment vertical="center"/>
    </xf>
    <xf numFmtId="0" fontId="25" fillId="0" borderId="18" xfId="0" applyFont="1" applyBorder="1" applyAlignment="1">
      <alignment vertical="center"/>
    </xf>
    <xf numFmtId="164" fontId="27" fillId="13" borderId="34" xfId="0" applyNumberFormat="1" applyFont="1" applyFill="1" applyBorder="1" applyAlignment="1">
      <alignment horizontal="right" vertical="center"/>
    </xf>
    <xf numFmtId="164" fontId="26" fillId="15" borderId="24" xfId="0" applyNumberFormat="1" applyFont="1" applyFill="1" applyBorder="1" applyAlignment="1">
      <alignment vertical="center"/>
    </xf>
    <xf numFmtId="164" fontId="25" fillId="0" borderId="24" xfId="0" applyNumberFormat="1" applyFont="1" applyBorder="1" applyAlignment="1">
      <alignment vertical="center"/>
    </xf>
    <xf numFmtId="164" fontId="27" fillId="13" borderId="24" xfId="0" applyNumberFormat="1" applyFont="1" applyFill="1" applyBorder="1" applyAlignment="1">
      <alignment vertical="center"/>
    </xf>
    <xf numFmtId="0" fontId="27" fillId="13" borderId="35" xfId="0" applyFont="1" applyFill="1" applyBorder="1" applyAlignment="1">
      <alignment horizontal="center" vertical="center"/>
    </xf>
    <xf numFmtId="164" fontId="27" fillId="13" borderId="36" xfId="0" applyNumberFormat="1" applyFont="1" applyFill="1" applyBorder="1" applyAlignment="1">
      <alignment horizontal="right" vertical="center"/>
    </xf>
    <xf numFmtId="0" fontId="26" fillId="15" borderId="33" xfId="0" applyFont="1" applyFill="1" applyBorder="1" applyAlignment="1">
      <alignment horizontal="center" vertical="center"/>
    </xf>
    <xf numFmtId="0" fontId="25" fillId="0" borderId="33" xfId="0" applyFont="1" applyBorder="1" applyAlignment="1">
      <alignment vertical="center"/>
    </xf>
    <xf numFmtId="0" fontId="27" fillId="13" borderId="33" xfId="0" applyFont="1" applyFill="1" applyBorder="1" applyAlignment="1">
      <alignment horizontal="center" vertical="center"/>
    </xf>
    <xf numFmtId="44" fontId="25" fillId="0" borderId="32" xfId="38" applyFont="1" applyBorder="1" applyAlignment="1">
      <alignment horizontal="right" vertical="center"/>
    </xf>
    <xf numFmtId="44" fontId="25" fillId="0" borderId="23" xfId="38" applyFont="1" applyBorder="1" applyAlignment="1">
      <alignment vertical="center"/>
    </xf>
    <xf numFmtId="44" fontId="25" fillId="0" borderId="24" xfId="38" applyFont="1" applyBorder="1" applyAlignment="1">
      <alignment horizontal="right" vertical="center"/>
    </xf>
    <xf numFmtId="44" fontId="25" fillId="0" borderId="24" xfId="38" applyFont="1" applyBorder="1" applyAlignment="1">
      <alignment vertical="center"/>
    </xf>
    <xf numFmtId="44" fontId="25" fillId="0" borderId="25" xfId="38" applyFont="1" applyBorder="1" applyAlignment="1">
      <alignment vertical="center"/>
    </xf>
    <xf numFmtId="44" fontId="27" fillId="13" borderId="23" xfId="38" applyFont="1" applyFill="1" applyBorder="1" applyAlignment="1">
      <alignment horizontal="center" vertical="center"/>
    </xf>
    <xf numFmtId="44" fontId="26" fillId="15" borderId="33" xfId="38" applyFont="1" applyFill="1" applyBorder="1" applyAlignment="1">
      <alignment horizontal="center" vertical="center"/>
    </xf>
    <xf numFmtId="44" fontId="25" fillId="0" borderId="33" xfId="38" applyFont="1" applyBorder="1" applyAlignment="1">
      <alignment vertical="center"/>
    </xf>
    <xf numFmtId="44" fontId="25" fillId="0" borderId="0" xfId="38" applyFont="1" applyBorder="1" applyAlignment="1">
      <alignment vertical="center"/>
    </xf>
    <xf numFmtId="44" fontId="27" fillId="13" borderId="33" xfId="38" applyFont="1" applyFill="1" applyBorder="1" applyAlignment="1">
      <alignment horizontal="center" vertical="center"/>
    </xf>
    <xf numFmtId="0" fontId="26" fillId="15" borderId="25" xfId="0" applyFont="1" applyFill="1" applyBorder="1" applyAlignment="1">
      <alignment horizontal="center" vertical="center"/>
    </xf>
    <xf numFmtId="44" fontId="32" fillId="0" borderId="24" xfId="38" applyFont="1" applyBorder="1" applyAlignment="1">
      <alignment vertical="center"/>
    </xf>
    <xf numFmtId="44" fontId="25" fillId="11" borderId="0" xfId="0" applyNumberFormat="1" applyFont="1" applyFill="1" applyAlignment="1">
      <alignment vertical="center"/>
    </xf>
    <xf numFmtId="167" fontId="25" fillId="11" borderId="0" xfId="38" applyNumberFormat="1" applyFont="1" applyFill="1" applyAlignment="1">
      <alignment vertical="center"/>
    </xf>
    <xf numFmtId="44" fontId="32" fillId="0" borderId="32" xfId="38" applyFont="1" applyBorder="1" applyAlignment="1">
      <alignment horizontal="right" vertical="center"/>
    </xf>
    <xf numFmtId="44" fontId="25" fillId="0" borderId="33" xfId="0" applyNumberFormat="1" applyFont="1" applyBorder="1" applyAlignment="1">
      <alignment vertical="center"/>
    </xf>
    <xf numFmtId="167" fontId="0" fillId="0" borderId="0" xfId="0" applyNumberFormat="1"/>
    <xf numFmtId="4" fontId="0" fillId="0" borderId="0" xfId="0" applyNumberFormat="1"/>
    <xf numFmtId="43" fontId="25" fillId="11" borderId="0" xfId="40" applyFont="1" applyFill="1" applyAlignment="1">
      <alignment vertical="center"/>
    </xf>
    <xf numFmtId="43" fontId="33" fillId="11" borderId="0" xfId="40" applyFont="1" applyFill="1" applyAlignment="1">
      <alignment vertical="center"/>
    </xf>
    <xf numFmtId="43" fontId="0" fillId="0" borderId="0" xfId="40" applyFont="1"/>
    <xf numFmtId="164" fontId="32" fillId="0" borderId="24" xfId="0" applyNumberFormat="1" applyFont="1" applyBorder="1" applyAlignment="1">
      <alignment horizontal="right" vertical="center"/>
    </xf>
    <xf numFmtId="164" fontId="32" fillId="0" borderId="25" xfId="0" applyNumberFormat="1" applyFont="1" applyBorder="1" applyAlignment="1">
      <alignment horizontal="right" vertical="center"/>
    </xf>
    <xf numFmtId="44" fontId="32" fillId="0" borderId="25" xfId="38" applyFont="1" applyBorder="1" applyAlignment="1">
      <alignment vertical="center"/>
    </xf>
    <xf numFmtId="44" fontId="25" fillId="0" borderId="0" xfId="38" applyFont="1" applyBorder="1"/>
    <xf numFmtId="164" fontId="25" fillId="0" borderId="0" xfId="38" applyNumberFormat="1" applyFont="1"/>
    <xf numFmtId="0" fontId="32" fillId="0" borderId="24" xfId="0" applyFont="1" applyBorder="1" applyAlignment="1">
      <alignment vertical="center"/>
    </xf>
    <xf numFmtId="0" fontId="26" fillId="11" borderId="37" xfId="0" applyFont="1" applyFill="1" applyBorder="1" applyAlignment="1">
      <alignment vertical="center"/>
    </xf>
    <xf numFmtId="164" fontId="26" fillId="11" borderId="38" xfId="0" applyNumberFormat="1" applyFont="1" applyFill="1" applyBorder="1" applyAlignment="1">
      <alignment vertical="center"/>
    </xf>
    <xf numFmtId="164" fontId="26" fillId="11" borderId="39" xfId="0" applyNumberFormat="1" applyFont="1" applyFill="1" applyBorder="1" applyAlignment="1">
      <alignment vertical="center"/>
    </xf>
    <xf numFmtId="0" fontId="37" fillId="0" borderId="32" xfId="37" applyFont="1" applyBorder="1" applyAlignment="1">
      <alignment vertical="center"/>
    </xf>
    <xf numFmtId="0" fontId="36" fillId="14" borderId="20" xfId="37" applyFont="1" applyFill="1" applyBorder="1" applyAlignment="1">
      <alignment vertical="center"/>
    </xf>
    <xf numFmtId="0" fontId="37" fillId="11" borderId="0" xfId="37" applyFont="1" applyFill="1" applyAlignment="1">
      <alignment vertical="center"/>
    </xf>
    <xf numFmtId="0" fontId="35" fillId="15" borderId="24" xfId="37" applyFont="1" applyFill="1" applyBorder="1" applyAlignment="1">
      <alignment horizontal="left" vertical="center"/>
    </xf>
    <xf numFmtId="0" fontId="37" fillId="0" borderId="24" xfId="37" applyFont="1" applyBorder="1" applyAlignment="1">
      <alignment vertical="center"/>
    </xf>
    <xf numFmtId="0" fontId="36" fillId="14" borderId="25" xfId="37" applyFont="1" applyFill="1" applyBorder="1" applyAlignment="1">
      <alignment vertical="center"/>
    </xf>
    <xf numFmtId="0" fontId="36" fillId="13" borderId="27" xfId="37" applyFont="1" applyFill="1" applyBorder="1" applyAlignment="1">
      <alignment horizontal="center" vertical="center"/>
    </xf>
    <xf numFmtId="0" fontId="35" fillId="15" borderId="20" xfId="37" applyFont="1" applyFill="1" applyBorder="1" applyAlignment="1">
      <alignment horizontal="left" vertical="center"/>
    </xf>
    <xf numFmtId="0" fontId="40" fillId="15" borderId="30" xfId="37" applyFont="1" applyFill="1" applyBorder="1" applyAlignment="1">
      <alignment horizontal="left" vertical="center"/>
    </xf>
    <xf numFmtId="0" fontId="38" fillId="11" borderId="0" xfId="37" applyFont="1" applyFill="1" applyAlignment="1">
      <alignment vertical="center"/>
    </xf>
    <xf numFmtId="0" fontId="38" fillId="0" borderId="0" xfId="37" applyFont="1" applyAlignment="1">
      <alignment vertical="center"/>
    </xf>
    <xf numFmtId="0" fontId="39" fillId="13" borderId="15" xfId="37" applyFont="1" applyFill="1" applyBorder="1" applyAlignment="1">
      <alignment horizontal="left" vertical="center"/>
    </xf>
    <xf numFmtId="0" fontId="13" fillId="0" borderId="0" xfId="0" applyFont="1"/>
    <xf numFmtId="0" fontId="34" fillId="11" borderId="37" xfId="0" applyFont="1" applyFill="1" applyBorder="1" applyAlignment="1">
      <alignment vertical="center"/>
    </xf>
    <xf numFmtId="0" fontId="36" fillId="13" borderId="41" xfId="37" applyFont="1" applyFill="1" applyBorder="1" applyAlignment="1">
      <alignment horizontal="left" vertical="center"/>
    </xf>
    <xf numFmtId="0" fontId="35" fillId="15" borderId="18" xfId="37" applyFont="1" applyFill="1" applyBorder="1" applyAlignment="1">
      <alignment horizontal="left" vertical="center"/>
    </xf>
    <xf numFmtId="43" fontId="37" fillId="0" borderId="32" xfId="40" applyFont="1" applyBorder="1" applyAlignment="1">
      <alignment horizontal="left" vertical="center"/>
    </xf>
    <xf numFmtId="43" fontId="37" fillId="0" borderId="24" xfId="40" applyFont="1" applyBorder="1" applyAlignment="1">
      <alignment horizontal="left" vertical="center"/>
    </xf>
    <xf numFmtId="43" fontId="37" fillId="0" borderId="25" xfId="40" applyFont="1" applyBorder="1" applyAlignment="1">
      <alignment horizontal="left" vertical="center"/>
    </xf>
    <xf numFmtId="43" fontId="13" fillId="0" borderId="0" xfId="40" applyFont="1" applyAlignment="1">
      <alignment horizontal="left"/>
    </xf>
    <xf numFmtId="43" fontId="35" fillId="15" borderId="23" xfId="40" applyFont="1" applyFill="1" applyBorder="1" applyAlignment="1">
      <alignment horizontal="center" vertical="center"/>
    </xf>
    <xf numFmtId="43" fontId="37" fillId="11" borderId="0" xfId="40" applyFont="1" applyFill="1" applyAlignment="1">
      <alignment horizontal="left" vertical="center"/>
    </xf>
    <xf numFmtId="43" fontId="35" fillId="15" borderId="24" xfId="40" applyFont="1" applyFill="1" applyBorder="1" applyAlignment="1">
      <alignment horizontal="center" vertical="center"/>
    </xf>
    <xf numFmtId="43" fontId="36" fillId="14" borderId="25" xfId="40" applyFont="1" applyFill="1" applyBorder="1" applyAlignment="1">
      <alignment horizontal="left" vertical="center"/>
    </xf>
    <xf numFmtId="43" fontId="39" fillId="14" borderId="25" xfId="40" applyFont="1" applyFill="1" applyBorder="1" applyAlignment="1">
      <alignment horizontal="left" vertical="center"/>
    </xf>
    <xf numFmtId="43" fontId="36" fillId="13" borderId="28" xfId="40" applyFont="1" applyFill="1" applyBorder="1" applyAlignment="1">
      <alignment horizontal="left" vertical="center"/>
    </xf>
    <xf numFmtId="43" fontId="39" fillId="13" borderId="28" xfId="40" applyFont="1" applyFill="1" applyBorder="1" applyAlignment="1">
      <alignment horizontal="left" vertical="center"/>
    </xf>
    <xf numFmtId="43" fontId="40" fillId="15" borderId="21" xfId="40" applyFont="1" applyFill="1" applyBorder="1" applyAlignment="1">
      <alignment horizontal="left" vertical="center"/>
    </xf>
    <xf numFmtId="43" fontId="38" fillId="0" borderId="33" xfId="40" applyFont="1" applyBorder="1" applyAlignment="1">
      <alignment horizontal="left" vertical="center"/>
    </xf>
    <xf numFmtId="43" fontId="38" fillId="0" borderId="40" xfId="40" applyFont="1" applyBorder="1" applyAlignment="1">
      <alignment horizontal="left" vertical="center"/>
    </xf>
    <xf numFmtId="43" fontId="40" fillId="15" borderId="33" xfId="40" applyFont="1" applyFill="1" applyBorder="1" applyAlignment="1">
      <alignment horizontal="left" vertical="center"/>
    </xf>
    <xf numFmtId="43" fontId="40" fillId="15" borderId="40" xfId="40" applyFont="1" applyFill="1" applyBorder="1" applyAlignment="1">
      <alignment horizontal="left" vertical="center"/>
    </xf>
    <xf numFmtId="43" fontId="38" fillId="11" borderId="0" xfId="40" applyFont="1" applyFill="1" applyAlignment="1">
      <alignment horizontal="left" vertical="center"/>
    </xf>
    <xf numFmtId="43" fontId="41" fillId="11" borderId="0" xfId="40" applyFont="1" applyFill="1" applyAlignment="1">
      <alignment horizontal="left" vertical="center"/>
    </xf>
    <xf numFmtId="43" fontId="38" fillId="0" borderId="0" xfId="40" applyFont="1" applyAlignment="1">
      <alignment horizontal="left" vertical="center"/>
    </xf>
    <xf numFmtId="43" fontId="34" fillId="11" borderId="38" xfId="40" applyFont="1" applyFill="1" applyBorder="1" applyAlignment="1">
      <alignment horizontal="left" vertical="center"/>
    </xf>
    <xf numFmtId="43" fontId="42" fillId="0" borderId="39" xfId="40" applyFont="1" applyBorder="1" applyAlignment="1">
      <alignment horizontal="left"/>
    </xf>
    <xf numFmtId="43" fontId="36" fillId="13" borderId="41" xfId="40" applyFont="1" applyFill="1" applyBorder="1" applyAlignment="1">
      <alignment horizontal="center" vertical="center"/>
    </xf>
    <xf numFmtId="0" fontId="36" fillId="13" borderId="41" xfId="40" applyNumberFormat="1" applyFont="1" applyFill="1" applyBorder="1" applyAlignment="1">
      <alignment horizontal="center" vertical="center"/>
    </xf>
    <xf numFmtId="43" fontId="40" fillId="15" borderId="31" xfId="40" applyFont="1" applyFill="1" applyBorder="1" applyAlignment="1">
      <alignment horizontal="center" vertical="center"/>
    </xf>
    <xf numFmtId="43" fontId="40" fillId="15" borderId="22" xfId="40" applyFont="1" applyFill="1" applyBorder="1" applyAlignment="1">
      <alignment horizontal="center" vertical="center"/>
    </xf>
    <xf numFmtId="0" fontId="35" fillId="15" borderId="21" xfId="37" applyFont="1" applyFill="1" applyBorder="1" applyAlignment="1">
      <alignment horizontal="left" vertical="center"/>
    </xf>
    <xf numFmtId="0" fontId="40" fillId="15" borderId="33" xfId="37" applyFont="1" applyFill="1" applyBorder="1" applyAlignment="1">
      <alignment horizontal="left" vertical="center"/>
    </xf>
    <xf numFmtId="0" fontId="34" fillId="11" borderId="38" xfId="0" applyFont="1" applyFill="1" applyBorder="1" applyAlignment="1">
      <alignment vertical="center"/>
    </xf>
    <xf numFmtId="43" fontId="37" fillId="0" borderId="42" xfId="40" applyFont="1" applyBorder="1" applyAlignment="1">
      <alignment horizontal="left" vertical="center"/>
    </xf>
    <xf numFmtId="43" fontId="37" fillId="0" borderId="21" xfId="40" applyFont="1" applyBorder="1" applyAlignment="1">
      <alignment horizontal="left" vertical="center"/>
    </xf>
    <xf numFmtId="43" fontId="37" fillId="0" borderId="33" xfId="40" applyFont="1" applyBorder="1" applyAlignment="1">
      <alignment horizontal="left" vertical="center"/>
    </xf>
    <xf numFmtId="43" fontId="35" fillId="15" borderId="41" xfId="40" applyFont="1" applyFill="1" applyBorder="1" applyAlignment="1">
      <alignment horizontal="center" vertical="center"/>
    </xf>
    <xf numFmtId="43" fontId="37" fillId="0" borderId="32" xfId="40" applyFont="1" applyBorder="1" applyAlignment="1">
      <alignment vertical="center"/>
    </xf>
    <xf numFmtId="43" fontId="37" fillId="0" borderId="24" xfId="40" applyFont="1" applyBorder="1" applyAlignment="1">
      <alignment vertical="center"/>
    </xf>
    <xf numFmtId="43" fontId="37" fillId="0" borderId="25" xfId="40" applyFont="1" applyBorder="1" applyAlignment="1">
      <alignment vertical="center"/>
    </xf>
    <xf numFmtId="43" fontId="36" fillId="14" borderId="25" xfId="37" applyNumberFormat="1" applyFont="1" applyFill="1" applyBorder="1" applyAlignment="1">
      <alignment vertical="center"/>
    </xf>
    <xf numFmtId="43" fontId="36" fillId="13" borderId="28" xfId="37" applyNumberFormat="1" applyFont="1" applyFill="1" applyBorder="1" applyAlignment="1">
      <alignment horizontal="center" vertical="center"/>
    </xf>
    <xf numFmtId="43" fontId="13" fillId="0" borderId="0" xfId="40" applyFont="1"/>
    <xf numFmtId="0" fontId="36" fillId="13" borderId="41" xfId="37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43" fontId="13" fillId="0" borderId="0" xfId="40" applyFont="1" applyBorder="1" applyAlignment="1">
      <alignment horizontal="left"/>
    </xf>
    <xf numFmtId="43" fontId="36" fillId="14" borderId="25" xfId="40" applyFont="1" applyFill="1" applyBorder="1" applyAlignment="1">
      <alignment vertical="center"/>
    </xf>
    <xf numFmtId="43" fontId="36" fillId="13" borderId="28" xfId="40" applyFont="1" applyFill="1" applyBorder="1" applyAlignment="1">
      <alignment horizontal="center" vertical="center"/>
    </xf>
    <xf numFmtId="43" fontId="36" fillId="14" borderId="21" xfId="40" applyFont="1" applyFill="1" applyBorder="1" applyAlignment="1">
      <alignment vertical="center"/>
    </xf>
    <xf numFmtId="0" fontId="36" fillId="17" borderId="0" xfId="37" applyFont="1" applyFill="1" applyBorder="1" applyAlignment="1">
      <alignment horizontal="center" vertical="center"/>
    </xf>
    <xf numFmtId="43" fontId="36" fillId="17" borderId="0" xfId="37" applyNumberFormat="1" applyFont="1" applyFill="1" applyBorder="1" applyAlignment="1">
      <alignment horizontal="center" vertical="center"/>
    </xf>
    <xf numFmtId="43" fontId="36" fillId="17" borderId="0" xfId="40" applyFont="1" applyFill="1" applyBorder="1" applyAlignment="1">
      <alignment horizontal="center" vertical="center"/>
    </xf>
    <xf numFmtId="43" fontId="39" fillId="17" borderId="0" xfId="40" applyFont="1" applyFill="1" applyBorder="1" applyAlignment="1">
      <alignment horizontal="left" vertical="center"/>
    </xf>
    <xf numFmtId="43" fontId="36" fillId="17" borderId="0" xfId="40" applyFont="1" applyFill="1" applyBorder="1" applyAlignment="1">
      <alignment horizontal="left" vertical="center"/>
    </xf>
    <xf numFmtId="43" fontId="13" fillId="18" borderId="0" xfId="40" applyFont="1" applyFill="1" applyAlignment="1">
      <alignment horizontal="left"/>
    </xf>
    <xf numFmtId="0" fontId="13" fillId="18" borderId="0" xfId="0" applyFont="1" applyFill="1"/>
    <xf numFmtId="43" fontId="13" fillId="18" borderId="0" xfId="40" applyFont="1" applyFill="1"/>
    <xf numFmtId="0" fontId="37" fillId="0" borderId="18" xfId="37" applyFont="1" applyBorder="1" applyAlignment="1">
      <alignment vertical="center"/>
    </xf>
    <xf numFmtId="43" fontId="37" fillId="0" borderId="0" xfId="40" applyFont="1" applyBorder="1" applyAlignment="1">
      <alignment vertical="center"/>
    </xf>
    <xf numFmtId="43" fontId="37" fillId="0" borderId="0" xfId="40" applyFont="1" applyBorder="1" applyAlignment="1">
      <alignment horizontal="left" vertical="center"/>
    </xf>
    <xf numFmtId="0" fontId="37" fillId="0" borderId="0" xfId="37" applyFont="1" applyBorder="1" applyAlignment="1">
      <alignment vertical="center"/>
    </xf>
    <xf numFmtId="43" fontId="37" fillId="0" borderId="32" xfId="40" applyFont="1" applyBorder="1" applyAlignment="1">
      <alignment horizontal="center" vertical="center"/>
    </xf>
    <xf numFmtId="43" fontId="36" fillId="14" borderId="21" xfId="37" applyNumberFormat="1" applyFont="1" applyFill="1" applyBorder="1" applyAlignment="1">
      <alignment vertical="center"/>
    </xf>
    <xf numFmtId="0" fontId="0" fillId="11" borderId="0" xfId="0" applyFill="1" applyAlignment="1">
      <alignment horizontal="center"/>
    </xf>
    <xf numFmtId="0" fontId="20" fillId="13" borderId="23" xfId="0" applyFont="1" applyFill="1" applyBorder="1" applyAlignment="1">
      <alignment horizontal="center" vertical="center"/>
    </xf>
    <xf numFmtId="0" fontId="20" fillId="14" borderId="24" xfId="0" applyFont="1" applyFill="1" applyBorder="1" applyAlignment="1">
      <alignment horizontal="center" vertical="center"/>
    </xf>
    <xf numFmtId="49" fontId="20" fillId="14" borderId="24" xfId="0" applyNumberFormat="1" applyFont="1" applyFill="1" applyBorder="1" applyAlignment="1">
      <alignment horizontal="center" vertical="center"/>
    </xf>
    <xf numFmtId="164" fontId="20" fillId="14" borderId="24" xfId="0" applyNumberFormat="1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/>
    </xf>
    <xf numFmtId="0" fontId="7" fillId="13" borderId="23" xfId="0" applyFont="1" applyFill="1" applyBorder="1" applyAlignment="1">
      <alignment horizontal="center" vertical="center"/>
    </xf>
    <xf numFmtId="0" fontId="7" fillId="14" borderId="24" xfId="0" applyFont="1" applyFill="1" applyBorder="1" applyAlignment="1">
      <alignment horizontal="center" vertical="center"/>
    </xf>
    <xf numFmtId="49" fontId="7" fillId="14" borderId="24" xfId="0" applyNumberFormat="1" applyFont="1" applyFill="1" applyBorder="1" applyAlignment="1">
      <alignment horizontal="center" vertical="center"/>
    </xf>
    <xf numFmtId="164" fontId="7" fillId="14" borderId="24" xfId="0" applyNumberFormat="1" applyFont="1" applyFill="1" applyBorder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164" fontId="23" fillId="0" borderId="24" xfId="0" applyNumberFormat="1" applyFont="1" applyBorder="1" applyAlignment="1">
      <alignment horizontal="center" vertical="center"/>
    </xf>
    <xf numFmtId="0" fontId="25" fillId="11" borderId="0" xfId="0" applyFont="1" applyFill="1" applyAlignment="1">
      <alignment horizontal="center" vertical="center"/>
    </xf>
    <xf numFmtId="0" fontId="25" fillId="11" borderId="0" xfId="0" applyFont="1" applyFill="1" applyAlignment="1">
      <alignment horizontal="left" vertical="center"/>
    </xf>
    <xf numFmtId="0" fontId="27" fillId="13" borderId="23" xfId="0" applyFont="1" applyFill="1" applyBorder="1" applyAlignment="1">
      <alignment horizontal="center" vertical="center"/>
    </xf>
    <xf numFmtId="0" fontId="27" fillId="14" borderId="24" xfId="0" applyFont="1" applyFill="1" applyBorder="1" applyAlignment="1">
      <alignment horizontal="center" vertical="center"/>
    </xf>
    <xf numFmtId="49" fontId="27" fillId="14" borderId="24" xfId="0" applyNumberFormat="1" applyFont="1" applyFill="1" applyBorder="1" applyAlignment="1">
      <alignment horizontal="center" vertical="center"/>
    </xf>
    <xf numFmtId="0" fontId="27" fillId="14" borderId="15" xfId="0" applyFont="1" applyFill="1" applyBorder="1" applyAlignment="1">
      <alignment horizontal="center" vertical="center"/>
    </xf>
    <xf numFmtId="0" fontId="27" fillId="14" borderId="16" xfId="0" applyFont="1" applyFill="1" applyBorder="1" applyAlignment="1">
      <alignment horizontal="center" vertical="center"/>
    </xf>
    <xf numFmtId="0" fontId="27" fillId="14" borderId="20" xfId="0" applyFont="1" applyFill="1" applyBorder="1" applyAlignment="1">
      <alignment horizontal="center" vertical="center"/>
    </xf>
    <xf numFmtId="0" fontId="27" fillId="14" borderId="21" xfId="0" applyFont="1" applyFill="1" applyBorder="1" applyAlignment="1">
      <alignment horizontal="center" vertical="center"/>
    </xf>
    <xf numFmtId="0" fontId="27" fillId="14" borderId="18" xfId="0" applyFont="1" applyFill="1" applyBorder="1" applyAlignment="1">
      <alignment horizontal="center" vertical="center"/>
    </xf>
    <xf numFmtId="0" fontId="27" fillId="14" borderId="0" xfId="0" applyFont="1" applyFill="1" applyAlignment="1">
      <alignment horizontal="center" vertical="center"/>
    </xf>
    <xf numFmtId="0" fontId="27" fillId="13" borderId="18" xfId="0" applyFont="1" applyFill="1" applyBorder="1" applyAlignment="1">
      <alignment horizontal="center" vertical="center"/>
    </xf>
    <xf numFmtId="0" fontId="27" fillId="13" borderId="0" xfId="0" applyFont="1" applyFill="1" applyAlignment="1">
      <alignment horizontal="center" vertical="center"/>
    </xf>
    <xf numFmtId="164" fontId="26" fillId="15" borderId="30" xfId="0" applyNumberFormat="1" applyFont="1" applyFill="1" applyBorder="1" applyAlignment="1">
      <alignment horizontal="center" vertical="center"/>
    </xf>
    <xf numFmtId="164" fontId="26" fillId="15" borderId="31" xfId="0" applyNumberFormat="1" applyFont="1" applyFill="1" applyBorder="1" applyAlignment="1">
      <alignment horizontal="center" vertical="center"/>
    </xf>
    <xf numFmtId="164" fontId="26" fillId="15" borderId="20" xfId="0" applyNumberFormat="1" applyFont="1" applyFill="1" applyBorder="1" applyAlignment="1">
      <alignment horizontal="center" vertical="center"/>
    </xf>
    <xf numFmtId="164" fontId="26" fillId="15" borderId="22" xfId="0" applyNumberFormat="1" applyFont="1" applyFill="1" applyBorder="1" applyAlignment="1">
      <alignment horizontal="center" vertical="center"/>
    </xf>
    <xf numFmtId="164" fontId="25" fillId="0" borderId="30" xfId="0" applyNumberFormat="1" applyFont="1" applyBorder="1" applyAlignment="1">
      <alignment horizontal="right" vertical="center"/>
    </xf>
    <xf numFmtId="164" fontId="25" fillId="0" borderId="31" xfId="0" applyNumberFormat="1" applyFont="1" applyBorder="1" applyAlignment="1">
      <alignment horizontal="right" vertical="center"/>
    </xf>
    <xf numFmtId="164" fontId="26" fillId="15" borderId="30" xfId="0" applyNumberFormat="1" applyFont="1" applyFill="1" applyBorder="1" applyAlignment="1">
      <alignment horizontal="right" vertical="center"/>
    </xf>
    <xf numFmtId="164" fontId="26" fillId="15" borderId="31" xfId="0" applyNumberFormat="1" applyFont="1" applyFill="1" applyBorder="1" applyAlignment="1">
      <alignment horizontal="right" vertical="center"/>
    </xf>
    <xf numFmtId="164" fontId="27" fillId="13" borderId="30" xfId="0" applyNumberFormat="1" applyFont="1" applyFill="1" applyBorder="1" applyAlignment="1">
      <alignment horizontal="center" vertical="center"/>
    </xf>
    <xf numFmtId="164" fontId="27" fillId="13" borderId="31" xfId="0" applyNumberFormat="1" applyFont="1" applyFill="1" applyBorder="1" applyAlignment="1">
      <alignment horizontal="center" vertical="center"/>
    </xf>
    <xf numFmtId="0" fontId="27" fillId="13" borderId="20" xfId="0" applyFont="1" applyFill="1" applyBorder="1" applyAlignment="1">
      <alignment horizontal="center" vertical="center"/>
    </xf>
    <xf numFmtId="0" fontId="27" fillId="13" borderId="21" xfId="0" applyFont="1" applyFill="1" applyBorder="1" applyAlignment="1">
      <alignment horizontal="center" vertical="center"/>
    </xf>
    <xf numFmtId="0" fontId="27" fillId="13" borderId="22" xfId="0" applyFont="1" applyFill="1" applyBorder="1" applyAlignment="1">
      <alignment horizontal="center" vertical="center"/>
    </xf>
    <xf numFmtId="0" fontId="27" fillId="14" borderId="17" xfId="0" applyFont="1" applyFill="1" applyBorder="1" applyAlignment="1">
      <alignment horizontal="center" vertical="center"/>
    </xf>
    <xf numFmtId="0" fontId="27" fillId="14" borderId="22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 readingOrder="1"/>
    </xf>
    <xf numFmtId="164" fontId="32" fillId="0" borderId="30" xfId="0" applyNumberFormat="1" applyFont="1" applyBorder="1" applyAlignment="1">
      <alignment horizontal="right" vertical="center"/>
    </xf>
    <xf numFmtId="164" fontId="32" fillId="0" borderId="31" xfId="0" applyNumberFormat="1" applyFont="1" applyBorder="1" applyAlignment="1">
      <alignment horizontal="right" vertical="center"/>
    </xf>
    <xf numFmtId="164" fontId="27" fillId="13" borderId="15" xfId="0" applyNumberFormat="1" applyFont="1" applyFill="1" applyBorder="1" applyAlignment="1">
      <alignment horizontal="center" vertical="center"/>
    </xf>
    <xf numFmtId="164" fontId="27" fillId="13" borderId="17" xfId="0" applyNumberFormat="1" applyFont="1" applyFill="1" applyBorder="1" applyAlignment="1">
      <alignment horizontal="center" vertical="center"/>
    </xf>
    <xf numFmtId="164" fontId="34" fillId="15" borderId="30" xfId="0" applyNumberFormat="1" applyFont="1" applyFill="1" applyBorder="1" applyAlignment="1">
      <alignment horizontal="right" vertical="center"/>
    </xf>
    <xf numFmtId="164" fontId="34" fillId="15" borderId="31" xfId="0" applyNumberFormat="1" applyFont="1" applyFill="1" applyBorder="1" applyAlignment="1">
      <alignment horizontal="right" vertical="center"/>
    </xf>
    <xf numFmtId="43" fontId="39" fillId="13" borderId="15" xfId="40" applyFont="1" applyFill="1" applyBorder="1" applyAlignment="1">
      <alignment horizontal="left" vertical="center"/>
    </xf>
    <xf numFmtId="43" fontId="39" fillId="13" borderId="17" xfId="40" applyFont="1" applyFill="1" applyBorder="1" applyAlignment="1">
      <alignment horizontal="left" vertical="center"/>
    </xf>
    <xf numFmtId="0" fontId="36" fillId="14" borderId="32" xfId="37" applyFont="1" applyFill="1" applyBorder="1" applyAlignment="1">
      <alignment horizontal="center" vertical="center"/>
    </xf>
    <xf numFmtId="0" fontId="36" fillId="14" borderId="15" xfId="37" applyFont="1" applyFill="1" applyBorder="1" applyAlignment="1">
      <alignment horizontal="center" vertical="center"/>
    </xf>
    <xf numFmtId="0" fontId="36" fillId="14" borderId="16" xfId="37" applyFont="1" applyFill="1" applyBorder="1" applyAlignment="1">
      <alignment horizontal="center" vertical="center"/>
    </xf>
    <xf numFmtId="0" fontId="36" fillId="14" borderId="20" xfId="37" applyFont="1" applyFill="1" applyBorder="1" applyAlignment="1">
      <alignment horizontal="center" vertical="center"/>
    </xf>
    <xf numFmtId="0" fontId="36" fillId="14" borderId="21" xfId="37" applyFont="1" applyFill="1" applyBorder="1" applyAlignment="1">
      <alignment horizontal="center" vertical="center"/>
    </xf>
    <xf numFmtId="0" fontId="36" fillId="13" borderId="18" xfId="37" applyFont="1" applyFill="1" applyBorder="1" applyAlignment="1">
      <alignment horizontal="center" vertical="center"/>
    </xf>
    <xf numFmtId="0" fontId="36" fillId="13" borderId="0" xfId="37" applyFont="1" applyFill="1" applyBorder="1" applyAlignment="1">
      <alignment horizontal="center" vertical="center"/>
    </xf>
    <xf numFmtId="0" fontId="36" fillId="13" borderId="0" xfId="37" applyFont="1" applyFill="1" applyAlignment="1">
      <alignment horizontal="center" vertical="center"/>
    </xf>
    <xf numFmtId="0" fontId="37" fillId="0" borderId="30" xfId="37" applyFont="1" applyBorder="1" applyAlignment="1">
      <alignment horizontal="left" vertical="center"/>
    </xf>
    <xf numFmtId="0" fontId="37" fillId="0" borderId="33" xfId="37" applyFont="1" applyBorder="1" applyAlignment="1">
      <alignment horizontal="left" vertical="center"/>
    </xf>
    <xf numFmtId="0" fontId="38" fillId="0" borderId="30" xfId="37" applyFont="1" applyBorder="1" applyAlignment="1">
      <alignment horizontal="left" vertical="center"/>
    </xf>
    <xf numFmtId="0" fontId="38" fillId="0" borderId="33" xfId="37" applyFont="1" applyBorder="1" applyAlignment="1">
      <alignment horizontal="left" vertical="center"/>
    </xf>
    <xf numFmtId="0" fontId="43" fillId="0" borderId="32" xfId="0" applyFont="1" applyBorder="1" applyAlignment="1">
      <alignment horizontal="center"/>
    </xf>
  </cellXfs>
  <cellStyles count="41">
    <cellStyle name="Accent" xfId="1"/>
    <cellStyle name="Accent 1" xfId="2"/>
    <cellStyle name="Accent 2" xfId="3"/>
    <cellStyle name="Accent 3" xfId="4"/>
    <cellStyle name="Background" xfId="5"/>
    <cellStyle name="Bad" xfId="6"/>
    <cellStyle name="Card" xfId="7"/>
    <cellStyle name="Card B" xfId="8"/>
    <cellStyle name="Card BL" xfId="9"/>
    <cellStyle name="Card BR" xfId="10"/>
    <cellStyle name="Card L" xfId="11"/>
    <cellStyle name="Card R" xfId="12"/>
    <cellStyle name="Card T" xfId="13"/>
    <cellStyle name="Card TL" xfId="14"/>
    <cellStyle name="Card TR" xfId="15"/>
    <cellStyle name="Column Header" xfId="16"/>
    <cellStyle name="ConditionalStyle_1" xfId="35"/>
    <cellStyle name="Error" xfId="17"/>
    <cellStyle name="Footnote" xfId="18"/>
    <cellStyle name="Good" xfId="19"/>
    <cellStyle name="Heading" xfId="20"/>
    <cellStyle name="Heading (user)" xfId="21"/>
    <cellStyle name="Heading 1" xfId="22"/>
    <cellStyle name="Heading 2" xfId="23"/>
    <cellStyle name="Heading1" xfId="24"/>
    <cellStyle name="Hyperlink" xfId="25"/>
    <cellStyle name="Input" xfId="26"/>
    <cellStyle name="Moeda" xfId="38" builtinId="4"/>
    <cellStyle name="Moeda 2" xfId="36"/>
    <cellStyle name="Neutra" xfId="39" builtinId="28"/>
    <cellStyle name="Neutral" xfId="27"/>
    <cellStyle name="Normal" xfId="0" builtinId="0" customBuiltin="1"/>
    <cellStyle name="Normal 2" xfId="37"/>
    <cellStyle name="Note" xfId="28"/>
    <cellStyle name="Result" xfId="29"/>
    <cellStyle name="Result (user)" xfId="30"/>
    <cellStyle name="Result2" xfId="31"/>
    <cellStyle name="Separador de milhares" xfId="40" builtinId="3"/>
    <cellStyle name="Status" xfId="32"/>
    <cellStyle name="Text" xfId="33"/>
    <cellStyle name="Warning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1486800</xdr:colOff>
      <xdr:row>0</xdr:row>
      <xdr:rowOff>95760</xdr:rowOff>
    </xdr:from>
    <xdr:ext cx="5779440" cy="748439"/>
    <xdr:sp macro="" textlink="">
      <xdr:nvSpPr>
        <xdr:cNvPr id="2" name="Text Box 1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2115450" y="95760"/>
          <a:ext cx="5779440" cy="748439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503309</xdr:colOff>
      <xdr:row>0</xdr:row>
      <xdr:rowOff>145335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/>
      </xdr:nvSpPr>
      <xdr:spPr>
        <a:xfrm>
          <a:off x="1541534" y="1453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503309</xdr:colOff>
      <xdr:row>0</xdr:row>
      <xdr:rowOff>145335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1541534" y="145335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503309</xdr:colOff>
      <xdr:row>0</xdr:row>
      <xdr:rowOff>145335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/>
      </xdr:nvSpPr>
      <xdr:spPr>
        <a:xfrm>
          <a:off x="1541534" y="145335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503308</xdr:colOff>
      <xdr:row>0</xdr:row>
      <xdr:rowOff>145335</xdr:rowOff>
    </xdr:from>
    <xdr:ext cx="7116691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/>
      </xdr:nvSpPr>
      <xdr:spPr>
        <a:xfrm>
          <a:off x="1541533" y="145335"/>
          <a:ext cx="7116691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503308</xdr:colOff>
      <xdr:row>0</xdr:row>
      <xdr:rowOff>145335</xdr:rowOff>
    </xdr:from>
    <xdr:ext cx="8507342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/>
      </xdr:nvSpPr>
      <xdr:spPr>
        <a:xfrm>
          <a:off x="1541533" y="145335"/>
          <a:ext cx="8507342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503308</xdr:colOff>
      <xdr:row>0</xdr:row>
      <xdr:rowOff>145335</xdr:rowOff>
    </xdr:from>
    <xdr:ext cx="8507342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E00-000002000000}"/>
            </a:ext>
          </a:extLst>
        </xdr:cNvPr>
        <xdr:cNvSpPr/>
      </xdr:nvSpPr>
      <xdr:spPr>
        <a:xfrm>
          <a:off x="1541533" y="145335"/>
          <a:ext cx="8507342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503309</xdr:colOff>
      <xdr:row>0</xdr:row>
      <xdr:rowOff>145335</xdr:rowOff>
    </xdr:from>
    <xdr:ext cx="5602216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1700-000002000000}"/>
            </a:ext>
          </a:extLst>
        </xdr:cNvPr>
        <xdr:cNvSpPr/>
      </xdr:nvSpPr>
      <xdr:spPr>
        <a:xfrm>
          <a:off x="1541534" y="145335"/>
          <a:ext cx="5602216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1665359</xdr:colOff>
      <xdr:row>0</xdr:row>
      <xdr:rowOff>192960</xdr:rowOff>
    </xdr:from>
    <xdr:ext cx="4542479" cy="614520"/>
    <xdr:sp macro="" textlink="">
      <xdr:nvSpPr>
        <xdr:cNvPr id="2" name="Text Box 1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760609" y="192960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1665359</xdr:colOff>
      <xdr:row>0</xdr:row>
      <xdr:rowOff>192960</xdr:rowOff>
    </xdr:from>
    <xdr:ext cx="4542479" cy="614520"/>
    <xdr:sp macro="" textlink="">
      <xdr:nvSpPr>
        <xdr:cNvPr id="2" name="Text Box 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1760609" y="192960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1665359</xdr:colOff>
      <xdr:row>0</xdr:row>
      <xdr:rowOff>192960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1760609" y="192960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703334</xdr:colOff>
      <xdr:row>0</xdr:row>
      <xdr:rowOff>107235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798584" y="1072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636659</xdr:colOff>
      <xdr:row>0</xdr:row>
      <xdr:rowOff>183435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731909" y="1834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636659</xdr:colOff>
      <xdr:row>0</xdr:row>
      <xdr:rowOff>183435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731909" y="1834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636659</xdr:colOff>
      <xdr:row>0</xdr:row>
      <xdr:rowOff>183435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731909" y="183435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436634</xdr:colOff>
      <xdr:row>0</xdr:row>
      <xdr:rowOff>173910</xdr:rowOff>
    </xdr:from>
    <xdr:ext cx="4542479" cy="614520"/>
    <xdr:sp macro="" textlink="">
      <xdr:nvSpPr>
        <xdr:cNvPr id="2" name="Text Box 13_0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>
          <a:off x="1560584" y="173910"/>
          <a:ext cx="4542479" cy="61452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20160" tIns="20160" rIns="20160" bIns="20160" anchor="t" anchorCtr="0" compatLnSpc="0">
          <a:noAutofit/>
        </a:bodyPr>
        <a:lstStyle/>
        <a:p>
          <a:pPr lvl="0" algn="r" rtl="0" hangingPunct="0">
            <a:buNone/>
            <a:tabLst/>
          </a:pPr>
          <a:endParaRPr lang="pt-BR" sz="500" b="0" i="0" u="none" strike="noStrike" kern="1200" baseline="0">
            <a:ln>
              <a:noFill/>
            </a:ln>
            <a:solidFill>
              <a:srgbClr val="000000"/>
            </a:solidFill>
            <a:latin typeface="Arial Black" pitchFamily="18"/>
            <a:ea typeface="Segoe UI" pitchFamily="2"/>
            <a:cs typeface="Tahoma" pitchFamily="2"/>
          </a:endParaRPr>
        </a:p>
        <a:p>
          <a:pPr lvl="0" algn="ctr" rtl="0" hangingPunct="0">
            <a:buNone/>
            <a:tabLst/>
          </a:pPr>
          <a:r>
            <a:rPr lang="pt-BR" sz="1300" b="0" i="0" u="none" strike="noStrike" kern="1200" baseline="0">
              <a:ln>
                <a:noFill/>
              </a:ln>
              <a:solidFill>
                <a:srgbClr val="000000"/>
              </a:solidFill>
              <a:latin typeface="Arial Black" pitchFamily="18"/>
              <a:ea typeface="Segoe UI" pitchFamily="2"/>
              <a:cs typeface="Tahoma" pitchFamily="2"/>
            </a:rPr>
            <a:t>INSTITUTO DE PREVIDÊNCIA SOCIAL DOS SERVIDORES  PÚBLICOS DO MUNICÍPIO DE BARRA VELHA</a:t>
          </a:r>
        </a:p>
        <a:p>
          <a:pPr lvl="0" algn="ct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  <a:p>
          <a:pPr lvl="0" algn="r" rtl="0" hangingPunct="0">
            <a:buNone/>
            <a:tabLst/>
          </a:pPr>
          <a:endParaRPr lang="pt-BR" sz="1300" b="0" i="0" u="none" strike="noStrike" kern="1200" baseline="0">
            <a:ln>
              <a:noFill/>
            </a:ln>
            <a:solidFill>
              <a:srgbClr val="000000"/>
            </a:solidFill>
            <a:latin typeface="Times New Roman" pitchFamily="18"/>
            <a:ea typeface="Segoe UI" pitchFamily="2"/>
            <a:cs typeface="Times New Roman" pitchFamily="2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.3\Publica\Setor%20FINANCEIRO\Financeiro%202021\IPM%20x%20SMI%20Jan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.3\Publica\Setor%20FINANCEIRO\Financeiro%202021\ARRECADA&#195;&#135;&#195;&#131;O%20IPREVE%20x%20MUNIC&#195;&#141;PIO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ANEIRO 202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60"/>
  <sheetViews>
    <sheetView topLeftCell="A19" workbookViewId="0">
      <selection activeCell="C44" sqref="C44"/>
    </sheetView>
  </sheetViews>
  <sheetFormatPr defaultRowHeight="15.75" customHeight="1"/>
  <cols>
    <col min="1" max="1" width="9.42578125" customWidth="1"/>
    <col min="2" max="2" width="77.42578125" customWidth="1"/>
    <col min="3" max="4" width="18.7109375" style="41" customWidth="1"/>
    <col min="5" max="20" width="9.5703125" style="1" customWidth="1"/>
    <col min="21" max="1024" width="9.42578125" customWidth="1"/>
  </cols>
  <sheetData>
    <row r="1" spans="1:20" ht="15.75" customHeight="1">
      <c r="A1" s="1"/>
      <c r="B1" s="2"/>
      <c r="C1" s="13"/>
      <c r="D1" s="14"/>
    </row>
    <row r="2" spans="1:20" ht="15.75" customHeight="1">
      <c r="A2" s="1"/>
      <c r="B2" s="3"/>
      <c r="C2" s="15"/>
      <c r="D2" s="16"/>
    </row>
    <row r="3" spans="1:20" ht="15.75" customHeight="1">
      <c r="A3" s="1"/>
      <c r="B3" s="3"/>
      <c r="C3" s="15"/>
      <c r="D3" s="16"/>
    </row>
    <row r="4" spans="1:20" ht="15.75" customHeight="1">
      <c r="A4" s="1"/>
      <c r="B4" s="3"/>
      <c r="C4" s="15"/>
      <c r="D4" s="16"/>
    </row>
    <row r="5" spans="1:20" ht="15.75" customHeight="1">
      <c r="A5" s="1"/>
      <c r="B5" s="4"/>
      <c r="C5" s="17"/>
      <c r="D5" s="18"/>
    </row>
    <row r="6" spans="1:20" s="20" customFormat="1" ht="24.95" customHeight="1">
      <c r="A6" s="19"/>
      <c r="B6" s="273" t="s">
        <v>0</v>
      </c>
      <c r="C6" s="273"/>
      <c r="D6" s="273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3" customFormat="1" ht="15.75" customHeight="1">
      <c r="A7" s="21"/>
      <c r="B7" s="274" t="s">
        <v>1</v>
      </c>
      <c r="C7" s="7" t="s">
        <v>31</v>
      </c>
      <c r="D7" s="22" t="s">
        <v>32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ht="15.75" customHeight="1">
      <c r="A8" s="1"/>
      <c r="B8" s="274"/>
      <c r="C8" s="22" t="s">
        <v>2</v>
      </c>
      <c r="D8" s="22" t="s">
        <v>2</v>
      </c>
    </row>
    <row r="9" spans="1:20" s="6" customFormat="1" ht="17.100000000000001" customHeight="1">
      <c r="A9" s="5"/>
      <c r="B9" s="8" t="s">
        <v>3</v>
      </c>
      <c r="C9" s="24"/>
      <c r="D9" s="25">
        <f t="shared" ref="D9:D18" si="0">SUM(C9)</f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s="6" customFormat="1" ht="17.100000000000001" customHeight="1">
      <c r="A10" s="5"/>
      <c r="B10" s="8" t="s">
        <v>4</v>
      </c>
      <c r="C10" s="25"/>
      <c r="D10" s="25">
        <f t="shared" si="0"/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s="6" customFormat="1" ht="17.100000000000001" customHeight="1">
      <c r="A11" s="5"/>
      <c r="B11" s="8" t="s">
        <v>33</v>
      </c>
      <c r="C11" s="25"/>
      <c r="D11" s="25">
        <f t="shared" si="0"/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s="6" customFormat="1" ht="17.100000000000001" customHeight="1">
      <c r="A12" s="5"/>
      <c r="B12" s="8" t="s">
        <v>6</v>
      </c>
      <c r="C12" s="25" t="e">
        <f>[1]Report!F59</f>
        <v>#REF!</v>
      </c>
      <c r="D12" s="25" t="e">
        <f t="shared" si="0"/>
        <v>#REF!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s="6" customFormat="1" ht="17.100000000000001" customHeight="1">
      <c r="A13" s="5"/>
      <c r="B13" s="8" t="s">
        <v>34</v>
      </c>
      <c r="C13" s="25"/>
      <c r="D13" s="25">
        <f t="shared" si="0"/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s="6" customFormat="1" ht="17.100000000000001" customHeight="1">
      <c r="A14" s="5"/>
      <c r="B14" s="8" t="s">
        <v>35</v>
      </c>
      <c r="C14" s="25" t="e">
        <f>'[2]JANEIRO 2021'!J48</f>
        <v>#REF!</v>
      </c>
      <c r="D14" s="25" t="e">
        <f t="shared" si="0"/>
        <v>#REF!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s="6" customFormat="1" ht="17.100000000000001" customHeight="1">
      <c r="A15" s="5"/>
      <c r="B15" s="8" t="s">
        <v>36</v>
      </c>
      <c r="C15" s="25" t="e">
        <f>'[2]JANEIRO 2021'!J49</f>
        <v>#REF!</v>
      </c>
      <c r="D15" s="25" t="e">
        <f t="shared" si="0"/>
        <v>#REF!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s="6" customFormat="1" ht="17.100000000000001" customHeight="1">
      <c r="A16" s="5"/>
      <c r="B16" s="8" t="s">
        <v>37</v>
      </c>
      <c r="C16" s="25" t="e">
        <f>'[2]JANEIRO 2021'!J50</f>
        <v>#REF!</v>
      </c>
      <c r="D16" s="25" t="e">
        <f t="shared" si="0"/>
        <v>#REF!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s="6" customFormat="1" ht="17.100000000000001" customHeight="1">
      <c r="A17" s="5"/>
      <c r="B17" s="8" t="s">
        <v>7</v>
      </c>
      <c r="C17" s="25"/>
      <c r="D17" s="25">
        <f t="shared" si="0"/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s="6" customFormat="1" ht="17.100000000000001" customHeight="1">
      <c r="A18" s="5"/>
      <c r="B18" s="8" t="s">
        <v>8</v>
      </c>
      <c r="C18" s="25"/>
      <c r="D18" s="25">
        <f t="shared" si="0"/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s="23" customFormat="1" ht="15.75" customHeight="1">
      <c r="A19" s="21"/>
      <c r="B19" s="26" t="s">
        <v>9</v>
      </c>
      <c r="C19" s="27" t="e">
        <f>SUM(C9:C18)</f>
        <v>#REF!</v>
      </c>
      <c r="D19" s="27" t="e">
        <f>SUM(D9:D18)</f>
        <v>#REF!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15.75" customHeight="1">
      <c r="A20" s="1"/>
      <c r="B20" s="1"/>
      <c r="C20" s="15"/>
      <c r="D20" s="15"/>
    </row>
    <row r="21" spans="1:20" s="23" customFormat="1" ht="15.75" customHeight="1">
      <c r="A21" s="21"/>
      <c r="B21" s="274" t="s">
        <v>10</v>
      </c>
      <c r="C21" s="275" t="s">
        <v>31</v>
      </c>
      <c r="D21" s="276" t="str">
        <f>D7</f>
        <v>ACUMULADO 2021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5.75" customHeight="1">
      <c r="A22" s="1"/>
      <c r="B22" s="274"/>
      <c r="C22" s="275"/>
      <c r="D22" s="276"/>
    </row>
    <row r="23" spans="1:20" s="6" customFormat="1" ht="17.100000000000001" customHeight="1">
      <c r="A23" s="5"/>
      <c r="B23" s="9" t="s">
        <v>11</v>
      </c>
      <c r="C23" s="9" t="s">
        <v>2</v>
      </c>
      <c r="D23" s="9" t="s">
        <v>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s="6" customFormat="1" ht="17.100000000000001" customHeight="1">
      <c r="A24" s="5"/>
      <c r="B24" s="8" t="s">
        <v>38</v>
      </c>
      <c r="C24" s="25">
        <v>395040.52</v>
      </c>
      <c r="D24" s="28">
        <f>SUM(C24)</f>
        <v>395040.52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s="6" customFormat="1" ht="17.100000000000001" customHeight="1">
      <c r="A25" s="5"/>
      <c r="B25" s="8" t="s">
        <v>39</v>
      </c>
      <c r="C25" s="25">
        <v>55681.13</v>
      </c>
      <c r="D25" s="28">
        <f>SUM(C25)</f>
        <v>55681.13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s="6" customFormat="1" ht="17.100000000000001" customHeight="1">
      <c r="A26" s="5"/>
      <c r="B26" s="8" t="s">
        <v>40</v>
      </c>
      <c r="C26" s="25">
        <f>27736.74</f>
        <v>27736.74</v>
      </c>
      <c r="D26" s="28">
        <f>SUM(C26)</f>
        <v>27736.74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s="6" customFormat="1" ht="17.100000000000001" customHeight="1">
      <c r="A27" s="5"/>
      <c r="B27" s="8" t="s">
        <v>13</v>
      </c>
      <c r="C27" s="25"/>
      <c r="D27" s="28">
        <f>SUM(C27)</f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s="6" customFormat="1" ht="17.100000000000001" customHeight="1">
      <c r="A28" s="5"/>
      <c r="B28" s="8" t="s">
        <v>41</v>
      </c>
      <c r="C28" s="29">
        <v>27326.71</v>
      </c>
      <c r="D28" s="28">
        <f>SUM(C28)</f>
        <v>27326.71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s="23" customFormat="1" ht="17.100000000000001" customHeight="1">
      <c r="A29" s="21"/>
      <c r="B29" s="30" t="s">
        <v>9</v>
      </c>
      <c r="C29" s="31">
        <f>SUM(C24:C28)</f>
        <v>505785.10000000003</v>
      </c>
      <c r="D29" s="31">
        <f>SUM(D24:D28)</f>
        <v>505785.10000000003</v>
      </c>
      <c r="E29" s="32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ht="17.100000000000001" customHeight="1">
      <c r="A30" s="1"/>
      <c r="B30" s="10" t="s">
        <v>14</v>
      </c>
      <c r="C30" s="33" t="e">
        <f>C19-C29</f>
        <v>#REF!</v>
      </c>
      <c r="D30" s="34" t="e">
        <f>D19-D29</f>
        <v>#REF!</v>
      </c>
    </row>
    <row r="31" spans="1:20" ht="15.75" customHeight="1">
      <c r="A31" s="1"/>
      <c r="B31" s="1"/>
      <c r="C31" s="15"/>
      <c r="D31" s="15"/>
    </row>
    <row r="32" spans="1:20" s="23" customFormat="1" ht="15.75" customHeight="1">
      <c r="A32" s="21"/>
      <c r="B32" s="35" t="s">
        <v>15</v>
      </c>
      <c r="C32" s="36"/>
      <c r="D32" s="37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s="23" customFormat="1" ht="15.75" customHeight="1">
      <c r="A33" s="21"/>
      <c r="B33" s="274" t="s">
        <v>16</v>
      </c>
      <c r="C33" s="276" t="str">
        <f>C21</f>
        <v>JANEIRO</v>
      </c>
      <c r="D33" s="37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5.75" customHeight="1">
      <c r="A34" s="1"/>
      <c r="B34" s="274"/>
      <c r="C34" s="276"/>
      <c r="D34" s="15"/>
    </row>
    <row r="35" spans="1:20" ht="15.75" customHeight="1">
      <c r="A35" s="1"/>
      <c r="B35" s="11" t="s">
        <v>17</v>
      </c>
      <c r="C35" s="38" t="s">
        <v>2</v>
      </c>
      <c r="D35" s="15"/>
    </row>
    <row r="36" spans="1:20" ht="15.75" customHeight="1">
      <c r="A36" s="1"/>
      <c r="B36" s="8" t="s">
        <v>18</v>
      </c>
      <c r="C36" s="25">
        <v>0</v>
      </c>
      <c r="D36" s="15"/>
    </row>
    <row r="37" spans="1:20" ht="15.75" customHeight="1">
      <c r="A37" s="1"/>
      <c r="B37" s="8" t="s">
        <v>19</v>
      </c>
      <c r="C37" s="25">
        <v>0</v>
      </c>
      <c r="D37" s="15"/>
    </row>
    <row r="38" spans="1:20" ht="15.75" customHeight="1">
      <c r="A38" s="1"/>
      <c r="B38" s="8" t="s">
        <v>20</v>
      </c>
      <c r="C38" s="25">
        <v>10096.89</v>
      </c>
      <c r="D38" s="15"/>
    </row>
    <row r="39" spans="1:20" ht="15.75" customHeight="1">
      <c r="A39" s="1"/>
      <c r="B39" s="8" t="s">
        <v>21</v>
      </c>
      <c r="C39" s="25">
        <v>2088.4299999999998</v>
      </c>
      <c r="D39" s="15"/>
    </row>
    <row r="40" spans="1:20" ht="15.75" customHeight="1">
      <c r="A40" s="1"/>
      <c r="B40" s="8" t="s">
        <v>22</v>
      </c>
      <c r="C40" s="25">
        <v>12.82</v>
      </c>
      <c r="D40" s="15"/>
    </row>
    <row r="41" spans="1:20" ht="15.75" customHeight="1">
      <c r="A41" s="1"/>
      <c r="B41" s="9" t="s">
        <v>23</v>
      </c>
      <c r="C41" s="39">
        <f>SUM(C36:C40)</f>
        <v>12198.14</v>
      </c>
      <c r="D41" s="15"/>
    </row>
    <row r="42" spans="1:20" ht="15.75" customHeight="1">
      <c r="A42" s="1"/>
      <c r="B42" s="1"/>
      <c r="C42" s="15"/>
      <c r="D42" s="15"/>
    </row>
    <row r="43" spans="1:20" ht="15.75" customHeight="1">
      <c r="A43" s="1"/>
      <c r="B43" s="9" t="s">
        <v>24</v>
      </c>
      <c r="C43" s="40" t="s">
        <v>2</v>
      </c>
      <c r="D43" s="15"/>
    </row>
    <row r="44" spans="1:20" ht="15.75" customHeight="1">
      <c r="A44" s="1"/>
      <c r="B44" s="8" t="s">
        <v>25</v>
      </c>
      <c r="C44" s="25" t="e">
        <f>[1]Report!P7</f>
        <v>#REF!</v>
      </c>
      <c r="D44" s="15"/>
    </row>
    <row r="45" spans="1:20" ht="15.75" customHeight="1">
      <c r="A45" s="1"/>
      <c r="B45" s="8" t="s">
        <v>26</v>
      </c>
      <c r="C45" s="25" t="e">
        <f>[1]Report!Q7</f>
        <v>#REF!</v>
      </c>
      <c r="D45" s="15"/>
    </row>
    <row r="46" spans="1:20" ht="15.75" customHeight="1">
      <c r="A46" s="1"/>
      <c r="B46" s="8" t="s">
        <v>27</v>
      </c>
      <c r="C46" s="25" t="e">
        <f>[1]Report!R7</f>
        <v>#REF!</v>
      </c>
      <c r="D46" s="15"/>
    </row>
    <row r="47" spans="1:20" ht="15.75" customHeight="1">
      <c r="A47" s="1"/>
      <c r="B47" s="9" t="s">
        <v>28</v>
      </c>
      <c r="C47" s="39" t="e">
        <f>SUM(C44:C46)</f>
        <v>#REF!</v>
      </c>
      <c r="D47" s="15"/>
    </row>
    <row r="48" spans="1:20" ht="15.75" customHeight="1">
      <c r="A48" s="1"/>
      <c r="D48" s="15"/>
    </row>
    <row r="49" spans="1:4" ht="15.75" customHeight="1">
      <c r="A49" s="1"/>
      <c r="B49" s="12" t="s">
        <v>29</v>
      </c>
      <c r="C49" s="42" t="e">
        <f>C47+C41</f>
        <v>#REF!</v>
      </c>
      <c r="D49" s="15"/>
    </row>
    <row r="50" spans="1:4" ht="15.75" customHeight="1">
      <c r="A50" s="1"/>
      <c r="B50" s="1"/>
      <c r="C50" s="15"/>
      <c r="D50" s="15"/>
    </row>
    <row r="51" spans="1:4" ht="15.75" customHeight="1">
      <c r="A51" s="1"/>
      <c r="B51" s="1"/>
      <c r="C51" s="15"/>
      <c r="D51" s="15"/>
    </row>
    <row r="52" spans="1:4" ht="15.75" customHeight="1">
      <c r="A52" s="1"/>
      <c r="B52" s="1"/>
      <c r="C52" s="15"/>
      <c r="D52" s="15"/>
    </row>
    <row r="53" spans="1:4" ht="15.75" customHeight="1">
      <c r="A53" s="1"/>
      <c r="B53" s="1"/>
      <c r="C53" s="15"/>
      <c r="D53" s="15"/>
    </row>
    <row r="54" spans="1:4" ht="15.75" customHeight="1">
      <c r="A54" s="1"/>
      <c r="B54" s="1"/>
      <c r="C54" s="15"/>
      <c r="D54" s="15"/>
    </row>
    <row r="55" spans="1:4" ht="15.75" customHeight="1">
      <c r="A55" s="1"/>
      <c r="B55" s="272" t="s">
        <v>30</v>
      </c>
      <c r="C55" s="272"/>
      <c r="D55" s="15"/>
    </row>
    <row r="56" spans="1:4" ht="15.75" customHeight="1">
      <c r="A56" s="1"/>
      <c r="B56" s="272" t="s">
        <v>42</v>
      </c>
      <c r="C56" s="272"/>
      <c r="D56" s="15"/>
    </row>
    <row r="57" spans="1:4" ht="15.75" customHeight="1">
      <c r="A57" s="1"/>
      <c r="B57" s="272" t="s">
        <v>43</v>
      </c>
      <c r="C57" s="272"/>
      <c r="D57" s="15"/>
    </row>
    <row r="58" spans="1:4" ht="15.75" customHeight="1">
      <c r="A58" s="1"/>
      <c r="B58" s="1"/>
      <c r="C58" s="15"/>
      <c r="D58" s="15"/>
    </row>
    <row r="59" spans="1:4" ht="15.75" customHeight="1">
      <c r="A59" s="1"/>
      <c r="B59" s="1"/>
      <c r="C59" s="15"/>
      <c r="D59" s="15"/>
    </row>
    <row r="60" spans="1:4" ht="15.75" customHeight="1">
      <c r="A60" s="1"/>
      <c r="B60" s="1"/>
      <c r="C60" s="15"/>
      <c r="D60" s="15"/>
    </row>
    <row r="61" spans="1:4" ht="15.75" customHeight="1">
      <c r="A61" s="1"/>
      <c r="B61" s="1"/>
      <c r="C61" s="15"/>
      <c r="D61" s="15"/>
    </row>
    <row r="62" spans="1:4" s="1" customFormat="1" ht="15.75" customHeight="1">
      <c r="C62" s="15"/>
      <c r="D62" s="15"/>
    </row>
    <row r="63" spans="1:4" s="1" customFormat="1" ht="15.75" customHeight="1">
      <c r="C63" s="15"/>
      <c r="D63" s="15"/>
    </row>
    <row r="64" spans="1:4" s="1" customFormat="1" ht="15.75" customHeight="1">
      <c r="C64" s="15"/>
      <c r="D64" s="15"/>
    </row>
    <row r="65" spans="3:4" s="1" customFormat="1" ht="15.75" customHeight="1">
      <c r="C65" s="15"/>
      <c r="D65" s="15"/>
    </row>
    <row r="66" spans="3:4" s="1" customFormat="1" ht="15.75" customHeight="1">
      <c r="C66" s="15"/>
      <c r="D66" s="15"/>
    </row>
    <row r="67" spans="3:4" s="1" customFormat="1" ht="15.75" customHeight="1">
      <c r="C67" s="15"/>
      <c r="D67" s="15"/>
    </row>
    <row r="68" spans="3:4" s="1" customFormat="1" ht="15.75" customHeight="1">
      <c r="C68" s="15"/>
      <c r="D68" s="15"/>
    </row>
    <row r="69" spans="3:4" s="1" customFormat="1" ht="15.75" customHeight="1">
      <c r="C69" s="15"/>
      <c r="D69" s="15"/>
    </row>
    <row r="70" spans="3:4" s="1" customFormat="1" ht="15.75" customHeight="1">
      <c r="C70" s="15"/>
      <c r="D70" s="15"/>
    </row>
    <row r="71" spans="3:4" s="1" customFormat="1" ht="15.75" customHeight="1">
      <c r="C71" s="15"/>
      <c r="D71" s="15"/>
    </row>
    <row r="72" spans="3:4" s="1" customFormat="1" ht="15.75" customHeight="1">
      <c r="C72" s="15"/>
      <c r="D72" s="15"/>
    </row>
    <row r="73" spans="3:4" s="1" customFormat="1" ht="15.75" customHeight="1">
      <c r="C73" s="15"/>
      <c r="D73" s="15"/>
    </row>
    <row r="74" spans="3:4" s="1" customFormat="1" ht="15.75" customHeight="1">
      <c r="C74" s="15"/>
      <c r="D74" s="15"/>
    </row>
    <row r="75" spans="3:4" s="1" customFormat="1" ht="15.75" customHeight="1">
      <c r="C75" s="15"/>
      <c r="D75" s="15"/>
    </row>
    <row r="76" spans="3:4" s="1" customFormat="1" ht="15.75" customHeight="1">
      <c r="C76" s="15"/>
      <c r="D76" s="15"/>
    </row>
    <row r="77" spans="3:4" s="1" customFormat="1" ht="15.75" customHeight="1">
      <c r="C77" s="15"/>
      <c r="D77" s="15"/>
    </row>
    <row r="78" spans="3:4" s="1" customFormat="1" ht="15.75" customHeight="1">
      <c r="C78" s="15"/>
      <c r="D78" s="15"/>
    </row>
    <row r="79" spans="3:4" s="1" customFormat="1" ht="15.75" customHeight="1">
      <c r="C79" s="15"/>
      <c r="D79" s="15"/>
    </row>
    <row r="80" spans="3:4" s="1" customFormat="1" ht="15.75" customHeight="1">
      <c r="C80" s="15"/>
      <c r="D80" s="15"/>
    </row>
    <row r="81" spans="3:4" s="1" customFormat="1" ht="15.75" customHeight="1">
      <c r="C81" s="15"/>
      <c r="D81" s="15"/>
    </row>
    <row r="82" spans="3:4" s="1" customFormat="1" ht="15.75" customHeight="1">
      <c r="C82" s="15"/>
      <c r="D82" s="15"/>
    </row>
    <row r="83" spans="3:4" s="1" customFormat="1" ht="15.75" customHeight="1">
      <c r="C83" s="15"/>
      <c r="D83" s="15"/>
    </row>
    <row r="84" spans="3:4" s="1" customFormat="1" ht="15.75" customHeight="1">
      <c r="C84" s="15"/>
      <c r="D84" s="15"/>
    </row>
    <row r="85" spans="3:4" s="1" customFormat="1" ht="15.75" customHeight="1">
      <c r="C85" s="15"/>
      <c r="D85" s="15"/>
    </row>
    <row r="86" spans="3:4" s="1" customFormat="1" ht="15.75" customHeight="1">
      <c r="C86" s="15"/>
      <c r="D86" s="15"/>
    </row>
    <row r="87" spans="3:4" s="1" customFormat="1" ht="15.75" customHeight="1">
      <c r="C87" s="15"/>
      <c r="D87" s="15"/>
    </row>
    <row r="88" spans="3:4" s="1" customFormat="1" ht="15.75" customHeight="1">
      <c r="C88" s="15"/>
      <c r="D88" s="15"/>
    </row>
    <row r="89" spans="3:4" s="1" customFormat="1" ht="15.75" customHeight="1">
      <c r="C89" s="15"/>
      <c r="D89" s="15"/>
    </row>
    <row r="90" spans="3:4" s="1" customFormat="1" ht="15.75" customHeight="1">
      <c r="C90" s="15"/>
      <c r="D90" s="15"/>
    </row>
    <row r="91" spans="3:4" s="1" customFormat="1" ht="15.75" customHeight="1">
      <c r="C91" s="15"/>
      <c r="D91" s="15"/>
    </row>
    <row r="92" spans="3:4" s="1" customFormat="1" ht="15.75" customHeight="1">
      <c r="C92" s="15"/>
      <c r="D92" s="15"/>
    </row>
    <row r="93" spans="3:4" s="1" customFormat="1" ht="15.75" customHeight="1">
      <c r="C93" s="15"/>
      <c r="D93" s="15"/>
    </row>
    <row r="94" spans="3:4" s="1" customFormat="1" ht="15.75" customHeight="1">
      <c r="C94" s="15"/>
      <c r="D94" s="15"/>
    </row>
    <row r="95" spans="3:4" s="1" customFormat="1" ht="15.75" customHeight="1">
      <c r="C95" s="15"/>
      <c r="D95" s="15"/>
    </row>
    <row r="96" spans="3:4" s="1" customFormat="1" ht="15.75" customHeight="1">
      <c r="C96" s="15"/>
      <c r="D96" s="15"/>
    </row>
    <row r="97" spans="3:4" s="1" customFormat="1" ht="15.75" customHeight="1">
      <c r="C97" s="15"/>
      <c r="D97" s="15"/>
    </row>
    <row r="98" spans="3:4" s="1" customFormat="1" ht="15.75" customHeight="1">
      <c r="C98" s="15"/>
      <c r="D98" s="15"/>
    </row>
    <row r="99" spans="3:4" s="1" customFormat="1" ht="15.75" customHeight="1">
      <c r="C99" s="15"/>
      <c r="D99" s="15"/>
    </row>
    <row r="100" spans="3:4" s="1" customFormat="1" ht="15.75" customHeight="1">
      <c r="C100" s="15"/>
      <c r="D100" s="15"/>
    </row>
    <row r="101" spans="3:4" s="1" customFormat="1" ht="15.75" customHeight="1">
      <c r="C101" s="15"/>
      <c r="D101" s="15"/>
    </row>
    <row r="102" spans="3:4" s="1" customFormat="1" ht="15.75" customHeight="1">
      <c r="C102" s="15"/>
      <c r="D102" s="15"/>
    </row>
    <row r="103" spans="3:4" s="1" customFormat="1" ht="15.75" customHeight="1">
      <c r="C103" s="15"/>
      <c r="D103" s="15"/>
    </row>
    <row r="104" spans="3:4" s="1" customFormat="1" ht="15.75" customHeight="1">
      <c r="C104" s="15"/>
      <c r="D104" s="15"/>
    </row>
    <row r="105" spans="3:4" s="1" customFormat="1" ht="15.75" customHeight="1">
      <c r="C105" s="15"/>
      <c r="D105" s="15"/>
    </row>
    <row r="106" spans="3:4" s="1" customFormat="1" ht="15.75" customHeight="1">
      <c r="C106" s="15"/>
      <c r="D106" s="15"/>
    </row>
    <row r="107" spans="3:4" s="1" customFormat="1" ht="15.75" customHeight="1">
      <c r="C107" s="15"/>
      <c r="D107" s="15"/>
    </row>
    <row r="108" spans="3:4" s="1" customFormat="1" ht="15.75" customHeight="1">
      <c r="C108" s="15"/>
      <c r="D108" s="15"/>
    </row>
    <row r="109" spans="3:4" s="1" customFormat="1" ht="15.75" customHeight="1">
      <c r="C109" s="15"/>
      <c r="D109" s="15"/>
    </row>
    <row r="110" spans="3:4" s="1" customFormat="1" ht="15.75" customHeight="1">
      <c r="C110" s="15"/>
      <c r="D110" s="15"/>
    </row>
    <row r="111" spans="3:4" s="1" customFormat="1" ht="15.75" customHeight="1">
      <c r="C111" s="15"/>
      <c r="D111" s="15"/>
    </row>
    <row r="112" spans="3:4" s="1" customFormat="1" ht="15.75" customHeight="1">
      <c r="C112" s="15"/>
      <c r="D112" s="15"/>
    </row>
    <row r="113" spans="3:4" s="1" customFormat="1" ht="15.75" customHeight="1">
      <c r="C113" s="15"/>
      <c r="D113" s="15"/>
    </row>
    <row r="114" spans="3:4" s="1" customFormat="1" ht="15.75" customHeight="1">
      <c r="C114" s="15"/>
      <c r="D114" s="15"/>
    </row>
    <row r="115" spans="3:4" s="1" customFormat="1" ht="15.75" customHeight="1">
      <c r="C115" s="15"/>
      <c r="D115" s="15"/>
    </row>
    <row r="116" spans="3:4" s="1" customFormat="1" ht="15.75" customHeight="1">
      <c r="C116" s="15"/>
      <c r="D116" s="15"/>
    </row>
    <row r="117" spans="3:4" s="1" customFormat="1" ht="15.75" customHeight="1">
      <c r="C117" s="15"/>
      <c r="D117" s="15"/>
    </row>
    <row r="118" spans="3:4" s="1" customFormat="1" ht="15.75" customHeight="1">
      <c r="C118" s="15"/>
      <c r="D118" s="15"/>
    </row>
    <row r="119" spans="3:4" s="1" customFormat="1" ht="15.75" customHeight="1">
      <c r="C119" s="15"/>
      <c r="D119" s="15"/>
    </row>
    <row r="120" spans="3:4" s="1" customFormat="1" ht="15.75" customHeight="1">
      <c r="C120" s="15"/>
      <c r="D120" s="15"/>
    </row>
    <row r="121" spans="3:4" s="1" customFormat="1" ht="15.75" customHeight="1">
      <c r="C121" s="15"/>
      <c r="D121" s="15"/>
    </row>
    <row r="122" spans="3:4" s="1" customFormat="1" ht="15.75" customHeight="1">
      <c r="C122" s="15"/>
      <c r="D122" s="15"/>
    </row>
    <row r="123" spans="3:4" s="1" customFormat="1" ht="15.75" customHeight="1">
      <c r="C123" s="15"/>
      <c r="D123" s="15"/>
    </row>
    <row r="124" spans="3:4" s="1" customFormat="1" ht="15.75" customHeight="1">
      <c r="C124" s="15"/>
      <c r="D124" s="15"/>
    </row>
    <row r="125" spans="3:4" s="1" customFormat="1" ht="15.75" customHeight="1">
      <c r="C125" s="15"/>
      <c r="D125" s="15"/>
    </row>
    <row r="126" spans="3:4" s="1" customFormat="1" ht="15.75" customHeight="1">
      <c r="C126" s="15"/>
      <c r="D126" s="15"/>
    </row>
    <row r="127" spans="3:4" s="1" customFormat="1" ht="15.75" customHeight="1">
      <c r="C127" s="15"/>
      <c r="D127" s="15"/>
    </row>
    <row r="128" spans="3:4" s="1" customFormat="1" ht="15.75" customHeight="1">
      <c r="C128" s="15"/>
      <c r="D128" s="15"/>
    </row>
    <row r="129" spans="3:4" s="1" customFormat="1" ht="15.75" customHeight="1">
      <c r="C129" s="15"/>
      <c r="D129" s="15"/>
    </row>
    <row r="130" spans="3:4" s="1" customFormat="1" ht="15.75" customHeight="1">
      <c r="C130" s="15"/>
      <c r="D130" s="15"/>
    </row>
    <row r="131" spans="3:4" s="1" customFormat="1" ht="15.75" customHeight="1">
      <c r="C131" s="15"/>
      <c r="D131" s="15"/>
    </row>
    <row r="132" spans="3:4" s="1" customFormat="1" ht="15.75" customHeight="1">
      <c r="C132" s="15"/>
      <c r="D132" s="15"/>
    </row>
    <row r="133" spans="3:4" s="1" customFormat="1" ht="15.75" customHeight="1">
      <c r="C133" s="15"/>
      <c r="D133" s="15"/>
    </row>
    <row r="134" spans="3:4" s="1" customFormat="1" ht="15.75" customHeight="1">
      <c r="C134" s="15"/>
      <c r="D134" s="15"/>
    </row>
    <row r="135" spans="3:4" s="1" customFormat="1" ht="15.75" customHeight="1">
      <c r="C135" s="15"/>
      <c r="D135" s="15"/>
    </row>
    <row r="136" spans="3:4" s="1" customFormat="1" ht="15.75" customHeight="1">
      <c r="C136" s="15"/>
      <c r="D136" s="15"/>
    </row>
    <row r="137" spans="3:4" s="1" customFormat="1" ht="15.75" customHeight="1">
      <c r="C137" s="15"/>
      <c r="D137" s="15"/>
    </row>
    <row r="138" spans="3:4" s="1" customFormat="1" ht="15.75" customHeight="1">
      <c r="C138" s="15"/>
      <c r="D138" s="15"/>
    </row>
    <row r="139" spans="3:4" s="1" customFormat="1" ht="15.75" customHeight="1">
      <c r="C139" s="15"/>
      <c r="D139" s="15"/>
    </row>
    <row r="140" spans="3:4" s="1" customFormat="1" ht="15.75" customHeight="1">
      <c r="C140" s="15"/>
      <c r="D140" s="15"/>
    </row>
    <row r="141" spans="3:4" s="1" customFormat="1" ht="15.75" customHeight="1">
      <c r="C141" s="15"/>
      <c r="D141" s="15"/>
    </row>
    <row r="142" spans="3:4" s="1" customFormat="1" ht="15.75" customHeight="1">
      <c r="C142" s="15"/>
      <c r="D142" s="15"/>
    </row>
    <row r="143" spans="3:4" s="1" customFormat="1" ht="15.75" customHeight="1">
      <c r="C143" s="15"/>
      <c r="D143" s="15"/>
    </row>
    <row r="144" spans="3:4" s="1" customFormat="1" ht="15.75" customHeight="1">
      <c r="C144" s="15"/>
      <c r="D144" s="15"/>
    </row>
    <row r="145" spans="3:4" s="1" customFormat="1" ht="15.75" customHeight="1">
      <c r="C145" s="15"/>
      <c r="D145" s="15"/>
    </row>
    <row r="146" spans="3:4" s="1" customFormat="1" ht="15.75" customHeight="1">
      <c r="C146" s="15"/>
      <c r="D146" s="15"/>
    </row>
    <row r="147" spans="3:4" s="1" customFormat="1" ht="15.75" customHeight="1">
      <c r="C147" s="15"/>
      <c r="D147" s="15"/>
    </row>
    <row r="148" spans="3:4" s="1" customFormat="1" ht="15.75" customHeight="1">
      <c r="C148" s="15"/>
      <c r="D148" s="15"/>
    </row>
    <row r="149" spans="3:4" s="1" customFormat="1" ht="15.75" customHeight="1">
      <c r="C149" s="15"/>
      <c r="D149" s="15"/>
    </row>
    <row r="150" spans="3:4" s="1" customFormat="1" ht="15.75" customHeight="1">
      <c r="C150" s="15"/>
      <c r="D150" s="15"/>
    </row>
    <row r="151" spans="3:4" s="1" customFormat="1" ht="15.75" customHeight="1">
      <c r="C151" s="15"/>
      <c r="D151" s="15"/>
    </row>
    <row r="152" spans="3:4" s="1" customFormat="1" ht="15.75" customHeight="1">
      <c r="C152" s="15"/>
      <c r="D152" s="15"/>
    </row>
    <row r="153" spans="3:4" s="1" customFormat="1" ht="15.75" customHeight="1">
      <c r="C153" s="15"/>
      <c r="D153" s="15"/>
    </row>
    <row r="154" spans="3:4" s="1" customFormat="1" ht="15.75" customHeight="1">
      <c r="C154" s="15"/>
      <c r="D154" s="15"/>
    </row>
    <row r="155" spans="3:4" s="1" customFormat="1" ht="15.75" customHeight="1">
      <c r="C155" s="15"/>
      <c r="D155" s="15"/>
    </row>
    <row r="156" spans="3:4" s="1" customFormat="1" ht="15.75" customHeight="1">
      <c r="C156" s="15"/>
      <c r="D156" s="15"/>
    </row>
    <row r="157" spans="3:4" s="1" customFormat="1" ht="15.75" customHeight="1">
      <c r="C157" s="15"/>
      <c r="D157" s="15"/>
    </row>
    <row r="158" spans="3:4" s="1" customFormat="1" ht="15.75" customHeight="1">
      <c r="C158" s="15"/>
      <c r="D158" s="15"/>
    </row>
    <row r="159" spans="3:4" s="1" customFormat="1" ht="15.75" customHeight="1">
      <c r="C159" s="15"/>
      <c r="D159" s="15"/>
    </row>
    <row r="160" spans="3:4" s="1" customFormat="1" ht="15.75" customHeight="1">
      <c r="C160" s="15"/>
      <c r="D160" s="15"/>
    </row>
  </sheetData>
  <mergeCells count="10">
    <mergeCell ref="B55:C55"/>
    <mergeCell ref="B56:C56"/>
    <mergeCell ref="B57:C57"/>
    <mergeCell ref="B6:D6"/>
    <mergeCell ref="B7:B8"/>
    <mergeCell ref="B21:B22"/>
    <mergeCell ref="C21:C22"/>
    <mergeCell ref="D21:D22"/>
    <mergeCell ref="B33:B34"/>
    <mergeCell ref="C33:C34"/>
  </mergeCells>
  <pageMargins left="0.51181102362204722" right="0.51181102362204722" top="0.92992125984251972" bottom="1.0826771653543306" header="0.31535433070866142" footer="0.78740157480314954"/>
  <pageSetup paperSize="9" fitToWidth="0" fitToHeight="0" pageOrder="overThenDown" orientation="portrait" r:id="rId1"/>
  <headerFooter alignWithMargins="0">
    <oddHeader>&amp;CPRESTAÇÃO DE CONTAS &amp;A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8"/>
  <sheetViews>
    <sheetView showGridLines="0" topLeftCell="A7" workbookViewId="0">
      <selection activeCell="B12" sqref="B12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20" style="108" bestFit="1" customWidth="1"/>
    <col min="4" max="19" width="9.5703125" style="108" customWidth="1"/>
    <col min="20" max="1023" width="9.42578125" style="108" customWidth="1"/>
    <col min="1024" max="16384" width="9.140625" style="108"/>
  </cols>
  <sheetData>
    <row r="1" spans="1:19" ht="15.75" customHeight="1">
      <c r="A1" s="106"/>
      <c r="B1" s="106"/>
      <c r="C1" s="109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19" ht="15.75" customHeight="1">
      <c r="A2" s="106"/>
      <c r="B2" s="106"/>
      <c r="C2" s="109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ht="15.75" customHeight="1">
      <c r="A3" s="106"/>
      <c r="B3" s="106"/>
      <c r="C3" s="109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 ht="15.75" customHeight="1">
      <c r="A4" s="106"/>
      <c r="B4" s="106"/>
      <c r="C4" s="109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</row>
    <row r="5" spans="1:19" ht="15.75" customHeight="1">
      <c r="A5" s="106"/>
      <c r="B5" s="106"/>
      <c r="C5" s="109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</row>
    <row r="6" spans="1:19" s="112" customFormat="1" ht="24.95" customHeight="1">
      <c r="A6" s="111"/>
      <c r="B6" s="286" t="s">
        <v>0</v>
      </c>
      <c r="C6" s="286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s="112" customFormat="1" ht="15.75" customHeight="1">
      <c r="A7" s="111"/>
      <c r="B7" s="287" t="s">
        <v>1</v>
      </c>
      <c r="C7" s="113" t="s">
        <v>110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</row>
    <row r="8" spans="1:19" ht="15.75" customHeight="1">
      <c r="A8" s="106"/>
      <c r="B8" s="287"/>
      <c r="C8" s="137" t="s">
        <v>2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</row>
    <row r="9" spans="1:19" ht="17.100000000000001" customHeight="1">
      <c r="A9" s="106"/>
      <c r="B9" s="136" t="s">
        <v>3</v>
      </c>
      <c r="C9" s="138">
        <v>479799.58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</row>
    <row r="10" spans="1:19" ht="17.100000000000001" customHeight="1">
      <c r="A10" s="106"/>
      <c r="B10" s="114" t="s">
        <v>4</v>
      </c>
      <c r="C10" s="135">
        <v>254933.63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</row>
    <row r="11" spans="1:19" ht="17.100000000000001" customHeight="1">
      <c r="A11" s="106"/>
      <c r="B11" s="114" t="s">
        <v>140</v>
      </c>
      <c r="C11" s="115">
        <v>126693.92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</row>
    <row r="12" spans="1:19" ht="17.100000000000001" customHeight="1">
      <c r="A12" s="106"/>
      <c r="B12" s="114" t="s">
        <v>6</v>
      </c>
      <c r="C12" s="115">
        <v>589142.80000000005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</row>
    <row r="13" spans="1:19" ht="17.100000000000001" customHeight="1">
      <c r="A13" s="106"/>
      <c r="B13" s="114" t="s">
        <v>111</v>
      </c>
      <c r="C13" s="115">
        <v>53413.64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</row>
    <row r="14" spans="1:19" ht="17.100000000000001" customHeight="1">
      <c r="A14" s="106"/>
      <c r="B14" s="114" t="s">
        <v>112</v>
      </c>
      <c r="C14" s="115">
        <v>23109.759999999998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</row>
    <row r="15" spans="1:19" ht="17.100000000000001" customHeight="1">
      <c r="A15" s="106"/>
      <c r="B15" s="114" t="s">
        <v>113</v>
      </c>
      <c r="C15" s="115">
        <v>11352.6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</row>
    <row r="16" spans="1:19" ht="17.100000000000001" customHeight="1">
      <c r="A16" s="106"/>
      <c r="B16" s="114" t="s">
        <v>114</v>
      </c>
      <c r="C16" s="115">
        <v>4732.95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</row>
    <row r="17" spans="1:19" ht="17.100000000000001" customHeight="1">
      <c r="A17" s="106"/>
      <c r="B17" s="114" t="s">
        <v>115</v>
      </c>
      <c r="C17" s="115">
        <v>16215.09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</row>
    <row r="18" spans="1:19" ht="17.100000000000001" customHeight="1">
      <c r="A18" s="106"/>
      <c r="B18" s="114" t="s">
        <v>7</v>
      </c>
      <c r="C18" s="115">
        <v>0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</row>
    <row r="19" spans="1:19" ht="17.100000000000001" customHeight="1">
      <c r="A19" s="106"/>
      <c r="B19" s="114" t="s">
        <v>8</v>
      </c>
      <c r="C19" s="115">
        <v>0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</row>
    <row r="20" spans="1:19" s="112" customFormat="1" ht="15.75" customHeight="1">
      <c r="A20" s="111"/>
      <c r="B20" s="116" t="s">
        <v>9</v>
      </c>
      <c r="C20" s="117">
        <f>SUM(C9:C19)</f>
        <v>1559393.9700000002</v>
      </c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</row>
    <row r="21" spans="1:19" ht="15.75" customHeight="1">
      <c r="A21" s="106"/>
      <c r="B21" s="106"/>
      <c r="C21" s="109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</row>
    <row r="22" spans="1:19" s="112" customFormat="1" ht="15.75" customHeight="1">
      <c r="A22" s="111"/>
      <c r="B22" s="287" t="s">
        <v>10</v>
      </c>
      <c r="C22" s="288" t="s">
        <v>110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</row>
    <row r="23" spans="1:19" ht="15.75" customHeight="1">
      <c r="A23" s="106"/>
      <c r="B23" s="287"/>
      <c r="C23" s="288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</row>
    <row r="24" spans="1:19" ht="17.100000000000001" customHeight="1">
      <c r="A24" s="106"/>
      <c r="B24" s="118" t="s">
        <v>11</v>
      </c>
      <c r="C24" s="118" t="s">
        <v>2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</row>
    <row r="25" spans="1:19" ht="17.100000000000001" customHeight="1">
      <c r="A25" s="106"/>
      <c r="B25" s="114" t="s">
        <v>108</v>
      </c>
      <c r="C25" s="115">
        <v>480255.83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</row>
    <row r="26" spans="1:19" ht="17.100000000000001" customHeight="1">
      <c r="A26" s="106"/>
      <c r="B26" s="114" t="s">
        <v>116</v>
      </c>
      <c r="C26" s="115">
        <v>58389.67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</row>
    <row r="27" spans="1:19" ht="17.100000000000001" customHeight="1">
      <c r="A27" s="106"/>
      <c r="B27" s="114" t="s">
        <v>109</v>
      </c>
      <c r="C27" s="119">
        <v>15672.66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</row>
    <row r="28" spans="1:19" ht="17.100000000000001" customHeight="1">
      <c r="A28" s="106"/>
      <c r="B28" s="114" t="s">
        <v>13</v>
      </c>
      <c r="C28" s="115">
        <v>0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</row>
    <row r="29" spans="1:19" ht="17.100000000000001" customHeight="1">
      <c r="A29" s="106"/>
      <c r="B29" s="114" t="s">
        <v>41</v>
      </c>
      <c r="C29" s="119">
        <f>609616-C25-C26-C27-C28</f>
        <v>55297.839999999982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</row>
    <row r="30" spans="1:19" s="112" customFormat="1" ht="17.100000000000001" customHeight="1">
      <c r="A30" s="111"/>
      <c r="B30" s="120" t="s">
        <v>84</v>
      </c>
      <c r="C30" s="121">
        <f>SUM(C25:C29)</f>
        <v>609616</v>
      </c>
      <c r="D30" s="122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</row>
    <row r="31" spans="1:19" s="112" customFormat="1" ht="17.100000000000001" customHeight="1">
      <c r="A31" s="111"/>
      <c r="B31" s="123" t="s">
        <v>14</v>
      </c>
      <c r="C31" s="124">
        <f>C20-C30</f>
        <v>949777.9700000002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</row>
    <row r="32" spans="1:19" ht="15.75" customHeight="1">
      <c r="A32" s="106"/>
      <c r="B32" s="106"/>
      <c r="C32" s="109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</row>
    <row r="33" spans="1:19" s="112" customFormat="1" ht="15.75" customHeight="1">
      <c r="A33" s="111"/>
      <c r="B33" s="125" t="s">
        <v>15</v>
      </c>
      <c r="C33" s="126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</row>
    <row r="34" spans="1:19" s="112" customFormat="1" ht="15.75" customHeight="1">
      <c r="A34" s="111"/>
      <c r="B34" s="287" t="s">
        <v>16</v>
      </c>
      <c r="C34" s="288" t="s">
        <v>110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</row>
    <row r="35" spans="1:19" ht="15.75" customHeight="1">
      <c r="A35" s="106"/>
      <c r="B35" s="287"/>
      <c r="C35" s="288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</row>
    <row r="36" spans="1:19" ht="15.75" customHeight="1">
      <c r="A36" s="106"/>
      <c r="B36" s="127" t="s">
        <v>17</v>
      </c>
      <c r="C36" s="128" t="s">
        <v>2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</row>
    <row r="37" spans="1:19" ht="15.75" customHeight="1">
      <c r="A37" s="106"/>
      <c r="B37" s="114" t="s">
        <v>18</v>
      </c>
      <c r="C37" s="115">
        <v>0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</row>
    <row r="38" spans="1:19" ht="15.75" customHeight="1">
      <c r="A38" s="106"/>
      <c r="B38" s="114" t="s">
        <v>19</v>
      </c>
      <c r="C38" s="115">
        <v>0</v>
      </c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1:19" ht="15.75" customHeight="1">
      <c r="A39" s="106"/>
      <c r="B39" s="114" t="s">
        <v>20</v>
      </c>
      <c r="C39" s="115">
        <v>199319.76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</row>
    <row r="40" spans="1:19" ht="15.75" customHeight="1">
      <c r="A40" s="106"/>
      <c r="B40" s="114" t="s">
        <v>21</v>
      </c>
      <c r="C40" s="115">
        <v>102485.69</v>
      </c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</row>
    <row r="41" spans="1:19" ht="15.75" customHeight="1">
      <c r="A41" s="106"/>
      <c r="B41" s="114" t="s">
        <v>22</v>
      </c>
      <c r="C41" s="115">
        <v>126680.24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</row>
    <row r="42" spans="1:19" ht="15.75" customHeight="1">
      <c r="A42" s="106"/>
      <c r="B42" s="118" t="s">
        <v>23</v>
      </c>
      <c r="C42" s="129">
        <f>SUM(C37:C41)</f>
        <v>428485.69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</row>
    <row r="43" spans="1:19" ht="15.75" customHeight="1">
      <c r="A43" s="106"/>
      <c r="B43" s="106"/>
      <c r="C43" s="109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</row>
    <row r="44" spans="1:19" ht="15.75" customHeight="1">
      <c r="A44" s="106"/>
      <c r="B44" s="118" t="s">
        <v>24</v>
      </c>
      <c r="C44" s="130" t="s">
        <v>2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</row>
    <row r="45" spans="1:19" ht="15.75" customHeight="1">
      <c r="A45" s="106"/>
      <c r="B45" s="114" t="s">
        <v>25</v>
      </c>
      <c r="C45" s="115">
        <f>35919619.28-C39-C40-C41</f>
        <v>35491133.590000004</v>
      </c>
    </row>
    <row r="46" spans="1:19" ht="15.75" customHeight="1">
      <c r="B46" s="114" t="s">
        <v>26</v>
      </c>
      <c r="C46" s="115">
        <v>10722474.15</v>
      </c>
    </row>
    <row r="47" spans="1:19" ht="15.75" customHeight="1">
      <c r="B47" s="114" t="s">
        <v>27</v>
      </c>
      <c r="C47" s="115">
        <v>5459.54</v>
      </c>
    </row>
    <row r="48" spans="1:19" ht="15.75" customHeight="1">
      <c r="B48" s="118" t="s">
        <v>28</v>
      </c>
      <c r="C48" s="129">
        <f>SUM(C45:C47)</f>
        <v>46219067.280000001</v>
      </c>
    </row>
    <row r="49" spans="2:3" ht="15.75" customHeight="1">
      <c r="B49" s="131"/>
      <c r="C49" s="132"/>
    </row>
    <row r="50" spans="2:3" ht="15.75" customHeight="1">
      <c r="B50" s="133" t="s">
        <v>29</v>
      </c>
      <c r="C50" s="134">
        <f>C48+C42</f>
        <v>46647552.969999999</v>
      </c>
    </row>
    <row r="51" spans="2:3" ht="15.75" customHeight="1">
      <c r="B51" s="106"/>
      <c r="C51" s="109"/>
    </row>
    <row r="52" spans="2:3" ht="15.75" customHeight="1">
      <c r="B52" s="106"/>
      <c r="C52" s="109"/>
    </row>
    <row r="53" spans="2:3" ht="15.75" customHeight="1">
      <c r="B53" s="106"/>
      <c r="C53" s="109"/>
    </row>
    <row r="54" spans="2:3" ht="15.75" customHeight="1">
      <c r="B54" s="106"/>
      <c r="C54" s="109"/>
    </row>
    <row r="55" spans="2:3" ht="15.75" customHeight="1">
      <c r="B55" s="106"/>
      <c r="C55" s="109"/>
    </row>
    <row r="56" spans="2:3" ht="15.75" customHeight="1">
      <c r="B56" s="284" t="s">
        <v>30</v>
      </c>
      <c r="C56" s="284"/>
    </row>
    <row r="57" spans="2:3" ht="15.75" customHeight="1">
      <c r="B57" s="285" t="s">
        <v>117</v>
      </c>
      <c r="C57" s="285"/>
    </row>
    <row r="58" spans="2:3" ht="15.75" customHeight="1">
      <c r="B58" s="284" t="s">
        <v>102</v>
      </c>
      <c r="C58" s="284"/>
    </row>
  </sheetData>
  <mergeCells count="9">
    <mergeCell ref="B56:C56"/>
    <mergeCell ref="B57:C57"/>
    <mergeCell ref="B58:C58"/>
    <mergeCell ref="B6:C6"/>
    <mergeCell ref="B7:B8"/>
    <mergeCell ref="B22:B23"/>
    <mergeCell ref="C22:C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1"/>
  <sheetViews>
    <sheetView showGridLines="0" workbookViewId="0">
      <selection activeCell="H3" sqref="H3"/>
    </sheetView>
  </sheetViews>
  <sheetFormatPr defaultRowHeight="15.75" customHeight="1"/>
  <cols>
    <col min="1" max="1" width="15.5703125" style="108" customWidth="1"/>
    <col min="2" max="2" width="59.7109375" style="108" customWidth="1"/>
    <col min="3" max="4" width="20" style="108" bestFit="1" customWidth="1"/>
    <col min="5" max="5" width="6.85546875" style="108" customWidth="1"/>
    <col min="6" max="6" width="18.42578125" style="148" bestFit="1" customWidth="1"/>
    <col min="7" max="7" width="14.7109375" style="108" bestFit="1" customWidth="1"/>
    <col min="8" max="8" width="13.5703125" style="108" bestFit="1" customWidth="1"/>
    <col min="9" max="20" width="9.5703125" style="108" customWidth="1"/>
    <col min="21" max="1024" width="9.42578125" style="108" customWidth="1"/>
    <col min="1025" max="16384" width="9.140625" style="108"/>
  </cols>
  <sheetData>
    <row r="1" spans="1:20" ht="15.75" customHeight="1">
      <c r="A1" s="106"/>
      <c r="B1" s="106"/>
      <c r="C1" s="109"/>
      <c r="D1" s="109"/>
      <c r="E1" s="106"/>
      <c r="F1" s="144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15.75" customHeight="1">
      <c r="A2" s="106"/>
      <c r="B2" s="106"/>
      <c r="C2" s="109"/>
      <c r="D2" s="109"/>
      <c r="E2" s="106"/>
      <c r="F2" s="144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 ht="15.75" customHeight="1">
      <c r="A3" s="106"/>
      <c r="B3" s="106"/>
      <c r="C3" s="109"/>
      <c r="D3" s="109"/>
      <c r="E3" s="106"/>
      <c r="F3" s="144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 ht="15.75" customHeight="1">
      <c r="A4" s="106"/>
      <c r="B4" s="106"/>
      <c r="C4" s="109"/>
      <c r="D4" s="109"/>
      <c r="E4" s="106"/>
      <c r="F4" s="144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1:20" ht="15.75" customHeight="1">
      <c r="A5" s="106"/>
      <c r="B5" s="106"/>
      <c r="C5" s="109"/>
      <c r="D5" s="109"/>
      <c r="E5" s="106"/>
      <c r="F5" s="144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1:20" s="141" customFormat="1" ht="24.95" customHeight="1">
      <c r="A6" s="140"/>
      <c r="B6" s="139" t="s">
        <v>0</v>
      </c>
      <c r="C6" s="139" t="s">
        <v>119</v>
      </c>
      <c r="D6" s="139">
        <v>2021</v>
      </c>
      <c r="E6" s="140"/>
      <c r="F6" s="145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</row>
    <row r="7" spans="1:20" s="112" customFormat="1" ht="15.75" customHeight="1">
      <c r="A7" s="111"/>
      <c r="B7" s="289" t="s">
        <v>127</v>
      </c>
      <c r="C7" s="290"/>
      <c r="D7" s="290"/>
      <c r="E7" s="111"/>
      <c r="F7" s="146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</row>
    <row r="8" spans="1:20" s="142" customFormat="1" ht="15.75" customHeight="1">
      <c r="A8" s="111"/>
      <c r="B8" s="291"/>
      <c r="C8" s="292"/>
      <c r="D8" s="292"/>
      <c r="E8" s="111"/>
      <c r="F8" s="146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0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1"/>
      <c r="F9" s="146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 ht="17.100000000000001" customHeight="1">
      <c r="A10" s="106"/>
      <c r="B10" s="136" t="s">
        <v>3</v>
      </c>
      <c r="C10" s="138">
        <f>968190.17+2459.6</f>
        <v>970649.77</v>
      </c>
      <c r="D10" s="138">
        <v>6518117.0599999996</v>
      </c>
      <c r="E10" s="106"/>
      <c r="F10" s="147">
        <f>13474.55+460367.24+13454.11+2578.28+2459.61+463582.17+13474.55+1258.84</f>
        <v>970649.35</v>
      </c>
      <c r="G10" s="143">
        <f>F10-C10</f>
        <v>-0.42000000004190952</v>
      </c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</row>
    <row r="11" spans="1:20" ht="17.100000000000001" customHeight="1">
      <c r="A11" s="106"/>
      <c r="B11" s="114" t="s">
        <v>4</v>
      </c>
      <c r="C11" s="135">
        <f>514649.08</f>
        <v>514649.08</v>
      </c>
      <c r="D11" s="135">
        <v>3868565.92</v>
      </c>
      <c r="E11" s="106"/>
      <c r="F11" s="147">
        <f>1627+8574.71+140750.5+8574.71+292960.97+8561.71+1640.72+1565.21+50393.37</f>
        <v>514648.89999999997</v>
      </c>
      <c r="G11" s="143">
        <f>C11-F11</f>
        <v>0.18000000005122274</v>
      </c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</row>
    <row r="12" spans="1:20" ht="17.100000000000001" customHeight="1">
      <c r="A12" s="106"/>
      <c r="B12" s="114" t="s">
        <v>5</v>
      </c>
      <c r="C12" s="115">
        <v>126693.92</v>
      </c>
      <c r="D12" s="115">
        <v>1882424.52</v>
      </c>
      <c r="E12" s="106"/>
      <c r="F12" s="147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</row>
    <row r="13" spans="1:20" ht="17.100000000000001" customHeight="1">
      <c r="A13" s="106"/>
      <c r="B13" s="114" t="s">
        <v>6</v>
      </c>
      <c r="C13" s="115">
        <v>466631.18</v>
      </c>
      <c r="D13" s="115">
        <v>2738013.47</v>
      </c>
      <c r="E13" s="108" t="s">
        <v>142</v>
      </c>
      <c r="F13" s="147">
        <v>480055.12</v>
      </c>
      <c r="G13" s="149">
        <f>F13-C13</f>
        <v>13423.940000000002</v>
      </c>
      <c r="H13" s="149" t="s">
        <v>141</v>
      </c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</row>
    <row r="14" spans="1:20" ht="17.100000000000001" customHeight="1">
      <c r="A14" s="106"/>
      <c r="B14" s="114" t="s">
        <v>122</v>
      </c>
      <c r="C14" s="115">
        <v>54033.24</v>
      </c>
      <c r="D14" s="115">
        <v>713748.1</v>
      </c>
      <c r="E14" s="106"/>
      <c r="F14" s="147"/>
      <c r="G14" s="143">
        <f>D13-2580149.87</f>
        <v>157863.60000000009</v>
      </c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</row>
    <row r="15" spans="1:20" ht="17.100000000000001" customHeight="1">
      <c r="A15" s="106"/>
      <c r="B15" s="114" t="s">
        <v>123</v>
      </c>
      <c r="C15" s="115">
        <v>23494.04</v>
      </c>
      <c r="D15" s="115">
        <v>301239.39</v>
      </c>
      <c r="E15" s="106"/>
      <c r="F15" s="147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</row>
    <row r="16" spans="1:20" ht="17.100000000000001" customHeight="1">
      <c r="A16" s="106"/>
      <c r="B16" s="114" t="s">
        <v>124</v>
      </c>
      <c r="C16" s="115">
        <v>11542.27</v>
      </c>
      <c r="D16" s="115" t="e">
        <f>#REF!+#REF!+#REF!+#REF!+#REF!+#REF!+#REF!+#REF!+#REF!+#REF!+#REF!+#REF!</f>
        <v>#REF!</v>
      </c>
      <c r="E16" s="106"/>
      <c r="F16" s="147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 ht="17.100000000000001" customHeight="1">
      <c r="A17" s="106"/>
      <c r="B17" s="114" t="s">
        <v>125</v>
      </c>
      <c r="C17" s="115">
        <v>4812.01</v>
      </c>
      <c r="D17" s="115" t="e">
        <f>#REF!+#REF!+#REF!+#REF!+#REF!+#REF!+#REF!+#REF!+#REF!+#REF!+#REF!+#REF!</f>
        <v>#REF!</v>
      </c>
      <c r="E17" s="106"/>
      <c r="F17" s="147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1:20" ht="17.100000000000001" customHeight="1">
      <c r="A18" s="106"/>
      <c r="B18" s="114" t="s">
        <v>126</v>
      </c>
      <c r="C18" s="115">
        <v>16485.12</v>
      </c>
      <c r="D18" s="115" t="e">
        <f>#REF!+#REF!+#REF!+#REF!+#REF!+#REF!+#REF!+#REF!+#REF!</f>
        <v>#REF!</v>
      </c>
      <c r="E18" s="106"/>
      <c r="F18" s="147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1:20" ht="17.100000000000001" customHeight="1">
      <c r="A19" s="106"/>
      <c r="B19" s="114" t="s">
        <v>7</v>
      </c>
      <c r="C19" s="115">
        <v>0</v>
      </c>
      <c r="D19" s="115">
        <v>78971.600000000006</v>
      </c>
      <c r="E19" s="106"/>
      <c r="F19" s="147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  <row r="20" spans="1:20" ht="17.100000000000001" customHeight="1">
      <c r="A20" s="106"/>
      <c r="B20" s="114" t="s">
        <v>8</v>
      </c>
      <c r="C20" s="115">
        <v>481.29</v>
      </c>
      <c r="D20" s="115">
        <v>481.29</v>
      </c>
      <c r="E20" s="106"/>
      <c r="F20" s="147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0" s="112" customFormat="1" ht="15.75" customHeight="1">
      <c r="A21" s="111"/>
      <c r="B21" s="116" t="s">
        <v>9</v>
      </c>
      <c r="C21" s="117">
        <f>SUM(C10:C20)</f>
        <v>2189471.92</v>
      </c>
      <c r="D21" s="117" t="e">
        <f>SUM(D10:D20)</f>
        <v>#REF!</v>
      </c>
      <c r="E21" s="111"/>
      <c r="F21" s="146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</row>
    <row r="22" spans="1:20" ht="15.75" customHeight="1">
      <c r="A22" s="106"/>
      <c r="B22" s="106"/>
      <c r="C22" s="109"/>
      <c r="D22" s="109"/>
      <c r="E22" s="106"/>
      <c r="F22" s="147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  <row r="23" spans="1:20" s="112" customFormat="1" ht="15.75" customHeight="1">
      <c r="A23" s="111"/>
      <c r="B23" s="293" t="s">
        <v>128</v>
      </c>
      <c r="C23" s="294"/>
      <c r="D23" s="294"/>
      <c r="E23" s="111"/>
      <c r="F23" s="146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</row>
    <row r="24" spans="1:20" ht="15.75" customHeight="1">
      <c r="A24" s="106"/>
      <c r="B24" s="291"/>
      <c r="C24" s="292"/>
      <c r="D24" s="292"/>
      <c r="E24" s="106"/>
      <c r="F24" s="147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</row>
    <row r="25" spans="1:20" ht="17.100000000000001" customHeight="1">
      <c r="A25" s="106"/>
      <c r="B25" s="118" t="s">
        <v>121</v>
      </c>
      <c r="C25" s="118" t="s">
        <v>2</v>
      </c>
      <c r="D25" s="118" t="s">
        <v>2</v>
      </c>
      <c r="E25" s="106"/>
      <c r="F25" s="147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</row>
    <row r="26" spans="1:20" ht="17.100000000000001" customHeight="1">
      <c r="A26" s="106"/>
      <c r="B26" s="114" t="s">
        <v>108</v>
      </c>
      <c r="C26" s="115">
        <v>724869.92</v>
      </c>
      <c r="D26" s="115">
        <v>5945136.54</v>
      </c>
      <c r="E26" s="106"/>
      <c r="F26" s="147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</row>
    <row r="27" spans="1:20" ht="17.100000000000001" customHeight="1">
      <c r="A27" s="106"/>
      <c r="B27" s="114" t="s">
        <v>116</v>
      </c>
      <c r="C27" s="115">
        <v>85760.25</v>
      </c>
      <c r="D27" s="115">
        <v>734430.56</v>
      </c>
      <c r="E27" s="106"/>
      <c r="F27" s="147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</row>
    <row r="28" spans="1:20" ht="17.100000000000001" customHeight="1">
      <c r="A28" s="106"/>
      <c r="B28" s="114" t="s">
        <v>129</v>
      </c>
      <c r="C28" s="119">
        <v>27220.99</v>
      </c>
      <c r="D28" s="119">
        <v>279167.65000000002</v>
      </c>
      <c r="E28" s="106"/>
      <c r="F28" s="147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</row>
    <row r="29" spans="1:20" ht="17.100000000000001" customHeight="1">
      <c r="A29" s="106"/>
      <c r="B29" s="114" t="s">
        <v>13</v>
      </c>
      <c r="C29" s="115">
        <v>0</v>
      </c>
      <c r="D29" s="115">
        <v>8057.66</v>
      </c>
      <c r="E29" s="106"/>
      <c r="F29" s="147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</row>
    <row r="30" spans="1:20" ht="17.100000000000001" customHeight="1">
      <c r="A30" s="106"/>
      <c r="B30" s="114" t="s">
        <v>130</v>
      </c>
      <c r="C30" s="119">
        <f>878902.8-C26-C27-C28-C29</f>
        <v>41051.64</v>
      </c>
      <c r="D30" s="119">
        <f>7327371.09-D26-D27-D28-D29</f>
        <v>360578.67999999976</v>
      </c>
      <c r="E30" s="106"/>
      <c r="F30" s="147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</row>
    <row r="31" spans="1:20" s="112" customFormat="1" ht="17.100000000000001" customHeight="1">
      <c r="A31" s="111"/>
      <c r="B31" s="120" t="s">
        <v>84</v>
      </c>
      <c r="C31" s="121">
        <f>SUM(C26:C30)</f>
        <v>878902.8</v>
      </c>
      <c r="D31" s="121">
        <f>SUM(D26:D30)</f>
        <v>7327371.0899999999</v>
      </c>
      <c r="E31" s="111"/>
      <c r="F31" s="146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</row>
    <row r="32" spans="1:20" s="112" customFormat="1" ht="17.100000000000001" customHeight="1">
      <c r="A32" s="111"/>
      <c r="B32" s="123" t="s">
        <v>14</v>
      </c>
      <c r="C32" s="124">
        <f>C21-C31</f>
        <v>1310569.1199999999</v>
      </c>
      <c r="D32" s="124" t="e">
        <f>D21-D31</f>
        <v>#REF!</v>
      </c>
      <c r="E32" s="111"/>
      <c r="F32" s="146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</row>
    <row r="33" spans="1:20" ht="15.75" customHeight="1">
      <c r="A33" s="106"/>
      <c r="B33" s="106"/>
      <c r="C33" s="109"/>
      <c r="D33" s="109"/>
      <c r="E33" s="106"/>
      <c r="F33" s="147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</row>
    <row r="34" spans="1:20" s="112" customFormat="1" ht="15.75" customHeight="1">
      <c r="A34" s="111"/>
      <c r="B34" s="295" t="s">
        <v>15</v>
      </c>
      <c r="C34" s="296"/>
      <c r="D34" s="296"/>
      <c r="E34" s="111"/>
      <c r="F34" s="146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 s="112" customFormat="1" ht="15.75" customHeight="1">
      <c r="A35" s="111"/>
      <c r="B35" s="293" t="s">
        <v>16</v>
      </c>
      <c r="C35" s="294"/>
      <c r="D35" s="294"/>
      <c r="E35" s="111"/>
      <c r="F35" s="146"/>
      <c r="G35" s="111" t="s">
        <v>118</v>
      </c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</row>
    <row r="36" spans="1:20" ht="15.75" customHeight="1">
      <c r="A36" s="106"/>
      <c r="B36" s="293"/>
      <c r="C36" s="294"/>
      <c r="D36" s="294"/>
      <c r="E36" s="106"/>
      <c r="F36" s="147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</row>
    <row r="37" spans="1:20" ht="15.75" customHeight="1">
      <c r="A37" s="106"/>
      <c r="B37" s="127" t="s">
        <v>17</v>
      </c>
      <c r="C37" s="299" t="s">
        <v>2</v>
      </c>
      <c r="D37" s="300"/>
      <c r="E37" s="106"/>
      <c r="F37" s="147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</row>
    <row r="38" spans="1:20" ht="15.75" customHeight="1">
      <c r="A38" s="106"/>
      <c r="B38" s="114" t="s">
        <v>18</v>
      </c>
      <c r="C38" s="301">
        <v>0</v>
      </c>
      <c r="D38" s="302"/>
      <c r="E38" s="106"/>
      <c r="F38" s="147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0" ht="15.75" customHeight="1">
      <c r="A39" s="106"/>
      <c r="B39" s="114" t="s">
        <v>19</v>
      </c>
      <c r="C39" s="301">
        <v>250.71</v>
      </c>
      <c r="D39" s="302"/>
      <c r="E39" s="106"/>
      <c r="F39" s="147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</row>
    <row r="40" spans="1:20" ht="15.75" customHeight="1">
      <c r="A40" s="106"/>
      <c r="B40" s="114" t="s">
        <v>132</v>
      </c>
      <c r="C40" s="301">
        <v>0</v>
      </c>
      <c r="D40" s="302"/>
      <c r="E40" s="106"/>
      <c r="F40" s="147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</row>
    <row r="41" spans="1:20" ht="15.75" customHeight="1">
      <c r="A41" s="106"/>
      <c r="B41" s="114" t="s">
        <v>20</v>
      </c>
      <c r="C41" s="301">
        <v>12818.69</v>
      </c>
      <c r="D41" s="302"/>
      <c r="E41" s="106"/>
      <c r="F41" s="147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</row>
    <row r="42" spans="1:20" ht="15.75" customHeight="1">
      <c r="A42" s="106"/>
      <c r="B42" s="114" t="s">
        <v>21</v>
      </c>
      <c r="C42" s="301">
        <v>86.76</v>
      </c>
      <c r="D42" s="302"/>
      <c r="E42" s="106"/>
      <c r="F42" s="147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</row>
    <row r="43" spans="1:20" ht="15.75" customHeight="1">
      <c r="A43" s="106"/>
      <c r="B43" s="114" t="s">
        <v>22</v>
      </c>
      <c r="C43" s="301">
        <v>37.32</v>
      </c>
      <c r="D43" s="302"/>
      <c r="E43" s="106"/>
      <c r="F43" s="147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</row>
    <row r="44" spans="1:20" ht="15.75" customHeight="1">
      <c r="A44" s="106"/>
      <c r="B44" s="118" t="s">
        <v>23</v>
      </c>
      <c r="C44" s="303">
        <f>SUM(C38:C43)</f>
        <v>13193.48</v>
      </c>
      <c r="D44" s="304"/>
      <c r="E44" s="106"/>
      <c r="F44" s="147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</row>
    <row r="45" spans="1:20" ht="15.75" customHeight="1">
      <c r="A45" s="106"/>
      <c r="B45" s="106"/>
      <c r="C45" s="150"/>
      <c r="D45" s="150"/>
      <c r="E45" s="106"/>
      <c r="F45" s="147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</row>
    <row r="46" spans="1:20" ht="15.75" customHeight="1">
      <c r="A46" s="106"/>
      <c r="B46" s="118" t="s">
        <v>24</v>
      </c>
      <c r="C46" s="297" t="s">
        <v>2</v>
      </c>
      <c r="D46" s="298"/>
      <c r="E46" s="106"/>
      <c r="F46" s="147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</row>
    <row r="47" spans="1:20" ht="15.75" customHeight="1">
      <c r="A47" s="106"/>
      <c r="B47" s="114" t="s">
        <v>25</v>
      </c>
      <c r="C47" s="301">
        <v>36824354.890000001</v>
      </c>
      <c r="D47" s="302"/>
    </row>
    <row r="48" spans="1:20" ht="15.75" customHeight="1">
      <c r="B48" s="114" t="s">
        <v>26</v>
      </c>
      <c r="C48" s="301">
        <v>10818247</v>
      </c>
      <c r="D48" s="302"/>
    </row>
    <row r="49" spans="2:4" ht="15.75" customHeight="1">
      <c r="B49" s="114" t="s">
        <v>27</v>
      </c>
      <c r="C49" s="301">
        <v>0</v>
      </c>
      <c r="D49" s="302"/>
    </row>
    <row r="50" spans="2:4" ht="15.75" customHeight="1">
      <c r="B50" s="114" t="s">
        <v>131</v>
      </c>
      <c r="C50" s="301">
        <v>292180.15999999997</v>
      </c>
      <c r="D50" s="302"/>
    </row>
    <row r="51" spans="2:4" ht="15.75" customHeight="1">
      <c r="B51" s="118" t="s">
        <v>28</v>
      </c>
      <c r="C51" s="303">
        <f>SUM(C47:C50)-C44</f>
        <v>47921588.57</v>
      </c>
      <c r="D51" s="304"/>
    </row>
    <row r="52" spans="2:4" ht="15.75" customHeight="1">
      <c r="B52" s="131"/>
      <c r="C52" s="132"/>
      <c r="D52" s="132"/>
    </row>
    <row r="53" spans="2:4" ht="15.75" customHeight="1">
      <c r="B53" s="133" t="s">
        <v>29</v>
      </c>
      <c r="C53" s="305">
        <f>C51+C44</f>
        <v>47934782.049999997</v>
      </c>
      <c r="D53" s="306"/>
    </row>
    <row r="54" spans="2:4" ht="15.75" customHeight="1">
      <c r="B54" s="106"/>
      <c r="C54" s="109"/>
      <c r="D54" s="109"/>
    </row>
    <row r="55" spans="2:4" ht="15.75" customHeight="1">
      <c r="B55" s="106"/>
      <c r="C55" s="109"/>
      <c r="D55" s="109"/>
    </row>
    <row r="56" spans="2:4" ht="15.75" customHeight="1">
      <c r="B56" s="106"/>
      <c r="C56" s="109"/>
      <c r="D56" s="109"/>
    </row>
    <row r="57" spans="2:4" ht="15.75" customHeight="1">
      <c r="B57" s="106"/>
      <c r="C57" s="109"/>
      <c r="D57" s="109"/>
    </row>
    <row r="58" spans="2:4" ht="15.75" customHeight="1">
      <c r="B58" s="106"/>
      <c r="C58" s="109"/>
      <c r="D58" s="109"/>
    </row>
    <row r="59" spans="2:4" ht="15.75" customHeight="1">
      <c r="B59" s="106"/>
      <c r="C59" s="106"/>
    </row>
    <row r="60" spans="2:4" ht="15.75" customHeight="1">
      <c r="B60" s="106"/>
      <c r="C60" s="106"/>
    </row>
    <row r="61" spans="2:4" ht="15.75" customHeight="1">
      <c r="B61" s="284"/>
      <c r="C61" s="284"/>
    </row>
  </sheetData>
  <mergeCells count="20">
    <mergeCell ref="B61:C61"/>
    <mergeCell ref="C47:D47"/>
    <mergeCell ref="C48:D48"/>
    <mergeCell ref="C49:D49"/>
    <mergeCell ref="C50:D50"/>
    <mergeCell ref="C51:D51"/>
    <mergeCell ref="C53:D53"/>
    <mergeCell ref="B7:D8"/>
    <mergeCell ref="B23:D24"/>
    <mergeCell ref="B34:D34"/>
    <mergeCell ref="B35:D36"/>
    <mergeCell ref="C46:D46"/>
    <mergeCell ref="C37:D37"/>
    <mergeCell ref="C38:D38"/>
    <mergeCell ref="C39:D39"/>
    <mergeCell ref="C40:D40"/>
    <mergeCell ref="C41:D41"/>
    <mergeCell ref="C42:D42"/>
    <mergeCell ref="C43:D43"/>
    <mergeCell ref="C44:D44"/>
  </mergeCells>
  <pageMargins left="0.78740157480314954" right="0.78740157480314954" top="1.1811023622047245" bottom="1.1811023622047245" header="0.78740157480314954" footer="0.78740157480314954"/>
  <pageSetup paperSize="9" scale="3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1"/>
  <sheetViews>
    <sheetView showGridLines="0" topLeftCell="A7" workbookViewId="0">
      <selection activeCell="A7" sqref="A1:XFD1048576"/>
    </sheetView>
  </sheetViews>
  <sheetFormatPr defaultRowHeight="15.75" customHeight="1"/>
  <cols>
    <col min="1" max="1" width="15.5703125" style="108" customWidth="1"/>
    <col min="2" max="2" width="59.7109375" style="108" customWidth="1"/>
    <col min="3" max="4" width="20" style="108" bestFit="1" customWidth="1"/>
    <col min="5" max="5" width="6.85546875" style="108" customWidth="1"/>
    <col min="6" max="6" width="18.42578125" style="148" bestFit="1" customWidth="1"/>
    <col min="7" max="7" width="14.7109375" style="151" bestFit="1" customWidth="1"/>
    <col min="8" max="8" width="13.5703125" style="151" bestFit="1" customWidth="1"/>
    <col min="9" max="20" width="9.5703125" style="108" customWidth="1"/>
    <col min="21" max="1024" width="9.42578125" style="108" customWidth="1"/>
    <col min="1025" max="16384" width="9.140625" style="108"/>
  </cols>
  <sheetData>
    <row r="1" spans="1:20" ht="15.75" customHeight="1">
      <c r="A1" s="106" t="s">
        <v>118</v>
      </c>
      <c r="B1" s="106"/>
      <c r="C1" s="109"/>
      <c r="D1" s="109"/>
      <c r="E1" s="106"/>
      <c r="F1" s="144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15.75" customHeight="1">
      <c r="A2" s="106"/>
      <c r="B2" s="106"/>
      <c r="C2" s="109"/>
      <c r="D2" s="109"/>
      <c r="E2" s="106"/>
      <c r="F2" s="144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 ht="15.75" customHeight="1">
      <c r="A3" s="106"/>
      <c r="B3" s="106"/>
      <c r="C3" s="109"/>
      <c r="D3" s="109"/>
      <c r="E3" s="106"/>
      <c r="F3" s="144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 ht="15.75" customHeight="1">
      <c r="A4" s="106"/>
      <c r="B4" s="106"/>
      <c r="C4" s="109"/>
      <c r="D4" s="109"/>
      <c r="E4" s="106"/>
      <c r="F4" s="144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1:20" ht="15.75" customHeight="1">
      <c r="A5" s="106"/>
      <c r="B5" s="106"/>
      <c r="C5" s="109"/>
      <c r="D5" s="109"/>
      <c r="E5" s="106"/>
      <c r="F5" s="144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1:20" s="141" customFormat="1" ht="24.95" customHeight="1">
      <c r="A6" s="140"/>
      <c r="B6" s="139" t="s">
        <v>0</v>
      </c>
      <c r="C6" s="139" t="s">
        <v>31</v>
      </c>
      <c r="D6" s="139">
        <v>2022</v>
      </c>
      <c r="E6" s="140"/>
      <c r="F6" s="145"/>
      <c r="G6" s="151"/>
      <c r="H6" s="151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</row>
    <row r="7" spans="1:20" s="112" customFormat="1" ht="15.75" customHeight="1">
      <c r="A7" s="111"/>
      <c r="B7" s="289" t="s">
        <v>127</v>
      </c>
      <c r="C7" s="290"/>
      <c r="D7" s="290"/>
      <c r="E7" s="111"/>
      <c r="F7" s="146"/>
      <c r="G7" s="151"/>
      <c r="H7" s="15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</row>
    <row r="8" spans="1:20" s="142" customFormat="1" ht="15.75" customHeight="1">
      <c r="A8" s="111"/>
      <c r="B8" s="291"/>
      <c r="C8" s="292"/>
      <c r="D8" s="292"/>
      <c r="E8" s="111"/>
      <c r="F8" s="146"/>
      <c r="G8" s="151"/>
      <c r="H8" s="15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0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1"/>
      <c r="F9" s="146"/>
      <c r="G9" s="151"/>
      <c r="H9" s="15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 ht="17.100000000000001" customHeight="1">
      <c r="A10" s="106"/>
      <c r="B10" s="136" t="s">
        <v>3</v>
      </c>
      <c r="C10" s="138">
        <f>467985.07+2546.27</f>
        <v>470531.34</v>
      </c>
      <c r="D10" s="138">
        <f>C10</f>
        <v>470531.34</v>
      </c>
      <c r="E10" s="106"/>
      <c r="F10" s="147"/>
      <c r="G10" s="152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</row>
    <row r="11" spans="1:20" ht="17.100000000000001" customHeight="1">
      <c r="A11" s="106"/>
      <c r="B11" s="114" t="s">
        <v>4</v>
      </c>
      <c r="C11" s="135">
        <v>452327.34</v>
      </c>
      <c r="D11" s="138">
        <f t="shared" ref="D11:D20" si="0">C11</f>
        <v>452327.34</v>
      </c>
      <c r="E11" s="106"/>
      <c r="F11" s="147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</row>
    <row r="12" spans="1:20" ht="17.100000000000001" customHeight="1">
      <c r="A12" s="106"/>
      <c r="B12" s="114" t="s">
        <v>148</v>
      </c>
      <c r="C12" s="115">
        <v>126693.92</v>
      </c>
      <c r="D12" s="138">
        <f t="shared" si="0"/>
        <v>126693.92</v>
      </c>
      <c r="E12" s="106"/>
      <c r="F12" s="147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</row>
    <row r="13" spans="1:20" ht="17.100000000000001" customHeight="1">
      <c r="A13" s="106"/>
      <c r="B13" s="114" t="s">
        <v>6</v>
      </c>
      <c r="C13" s="115">
        <v>38967.99</v>
      </c>
      <c r="D13" s="138">
        <f t="shared" si="0"/>
        <v>38967.99</v>
      </c>
      <c r="F13" s="147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</row>
    <row r="14" spans="1:20" ht="17.100000000000001" customHeight="1">
      <c r="A14" s="106"/>
      <c r="B14" s="114" t="s">
        <v>143</v>
      </c>
      <c r="C14" s="115">
        <v>54487.12</v>
      </c>
      <c r="D14" s="138">
        <f t="shared" si="0"/>
        <v>54487.12</v>
      </c>
      <c r="E14" s="106"/>
      <c r="F14" s="147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</row>
    <row r="15" spans="1:20" ht="17.100000000000001" customHeight="1">
      <c r="A15" s="106"/>
      <c r="B15" s="114" t="s">
        <v>144</v>
      </c>
      <c r="C15" s="115">
        <v>23811.51</v>
      </c>
      <c r="D15" s="138">
        <f t="shared" si="0"/>
        <v>23811.51</v>
      </c>
      <c r="E15" s="106"/>
      <c r="F15" s="147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</row>
    <row r="16" spans="1:20" ht="17.100000000000001" customHeight="1">
      <c r="A16" s="106"/>
      <c r="B16" s="114" t="s">
        <v>145</v>
      </c>
      <c r="C16" s="115">
        <v>11697.01</v>
      </c>
      <c r="D16" s="138">
        <f t="shared" si="0"/>
        <v>11697.01</v>
      </c>
      <c r="E16" s="106"/>
      <c r="F16" s="147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 ht="17.100000000000001" customHeight="1">
      <c r="A17" s="106"/>
      <c r="B17" s="114" t="s">
        <v>146</v>
      </c>
      <c r="C17" s="115">
        <v>4876.53</v>
      </c>
      <c r="D17" s="138">
        <f t="shared" si="0"/>
        <v>4876.53</v>
      </c>
      <c r="E17" s="106"/>
      <c r="F17" s="147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1:20" ht="17.100000000000001" customHeight="1">
      <c r="A18" s="106"/>
      <c r="B18" s="114" t="s">
        <v>147</v>
      </c>
      <c r="C18" s="115">
        <v>16706.07</v>
      </c>
      <c r="D18" s="138">
        <f t="shared" si="0"/>
        <v>16706.07</v>
      </c>
      <c r="E18" s="106"/>
      <c r="F18" s="147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1:20" ht="17.100000000000001" customHeight="1">
      <c r="A19" s="106"/>
      <c r="B19" s="114" t="s">
        <v>7</v>
      </c>
      <c r="C19" s="115">
        <v>0</v>
      </c>
      <c r="D19" s="138">
        <f t="shared" si="0"/>
        <v>0</v>
      </c>
      <c r="E19" s="106"/>
      <c r="F19" s="147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  <row r="20" spans="1:20" ht="17.100000000000001" customHeight="1">
      <c r="A20" s="106"/>
      <c r="B20" s="114" t="s">
        <v>149</v>
      </c>
      <c r="C20" s="115">
        <v>3231.48</v>
      </c>
      <c r="D20" s="138">
        <f t="shared" si="0"/>
        <v>3231.48</v>
      </c>
      <c r="E20" s="106"/>
      <c r="F20" s="147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0" s="112" customFormat="1" ht="15.75" customHeight="1">
      <c r="A21" s="111"/>
      <c r="B21" s="116" t="s">
        <v>9</v>
      </c>
      <c r="C21" s="117">
        <f>SUM(C10:C20)</f>
        <v>1203330.3100000003</v>
      </c>
      <c r="D21" s="117">
        <f>SUM(D10:D20)</f>
        <v>1203330.3100000003</v>
      </c>
      <c r="E21" s="111"/>
      <c r="F21" s="146"/>
      <c r="G21" s="151"/>
      <c r="H21" s="15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</row>
    <row r="22" spans="1:20" ht="15.75" customHeight="1">
      <c r="A22" s="106"/>
      <c r="B22" s="106"/>
      <c r="C22" s="109"/>
      <c r="D22" s="109"/>
      <c r="E22" s="106"/>
      <c r="F22" s="147" t="s">
        <v>118</v>
      </c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  <row r="23" spans="1:20" s="112" customFormat="1" ht="15.75" customHeight="1">
      <c r="A23" s="111"/>
      <c r="B23" s="289" t="s">
        <v>128</v>
      </c>
      <c r="C23" s="290"/>
      <c r="D23" s="290"/>
      <c r="E23" s="111"/>
      <c r="F23" s="146"/>
      <c r="G23" s="151"/>
      <c r="H23" s="15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</row>
    <row r="24" spans="1:20" ht="15.75" customHeight="1">
      <c r="A24" s="106"/>
      <c r="B24" s="291"/>
      <c r="C24" s="292"/>
      <c r="D24" s="292"/>
      <c r="E24" s="106"/>
      <c r="F24" s="147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</row>
    <row r="25" spans="1:20" ht="17.100000000000001" customHeight="1">
      <c r="A25" s="106"/>
      <c r="B25" s="118" t="s">
        <v>121</v>
      </c>
      <c r="C25" s="118" t="s">
        <v>2</v>
      </c>
      <c r="D25" s="118" t="s">
        <v>2</v>
      </c>
      <c r="E25" s="106"/>
      <c r="F25" s="147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</row>
    <row r="26" spans="1:20" ht="17.100000000000001" customHeight="1">
      <c r="A26" s="106"/>
      <c r="B26" s="114" t="s">
        <v>108</v>
      </c>
      <c r="C26" s="115">
        <v>487626.13</v>
      </c>
      <c r="D26" s="115">
        <f>C26</f>
        <v>487626.13</v>
      </c>
      <c r="E26" s="106"/>
      <c r="F26" s="147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</row>
    <row r="27" spans="1:20" ht="17.100000000000001" customHeight="1">
      <c r="A27" s="106"/>
      <c r="B27" s="114" t="s">
        <v>150</v>
      </c>
      <c r="C27" s="115">
        <v>65481.06</v>
      </c>
      <c r="D27" s="115">
        <f t="shared" ref="D27:D30" si="1">C27</f>
        <v>65481.06</v>
      </c>
      <c r="E27" s="106"/>
      <c r="F27" s="147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</row>
    <row r="28" spans="1:20" ht="17.100000000000001" customHeight="1">
      <c r="A28" s="106"/>
      <c r="B28" s="114" t="s">
        <v>129</v>
      </c>
      <c r="C28" s="119">
        <v>17676.18</v>
      </c>
      <c r="D28" s="115">
        <f t="shared" si="1"/>
        <v>17676.18</v>
      </c>
      <c r="E28" s="106"/>
      <c r="F28" s="147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</row>
    <row r="29" spans="1:20" ht="17.100000000000001" customHeight="1">
      <c r="A29" s="106"/>
      <c r="B29" s="114" t="s">
        <v>13</v>
      </c>
      <c r="C29" s="115">
        <v>0</v>
      </c>
      <c r="D29" s="115">
        <f t="shared" si="1"/>
        <v>0</v>
      </c>
      <c r="E29" s="106"/>
      <c r="F29" s="147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</row>
    <row r="30" spans="1:20" ht="17.100000000000001" customHeight="1">
      <c r="A30" s="106"/>
      <c r="B30" s="114" t="s">
        <v>130</v>
      </c>
      <c r="C30" s="119">
        <v>7086.12</v>
      </c>
      <c r="D30" s="115">
        <f t="shared" si="1"/>
        <v>7086.12</v>
      </c>
      <c r="E30" s="106"/>
      <c r="F30" s="147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</row>
    <row r="31" spans="1:20" s="112" customFormat="1" ht="17.100000000000001" customHeight="1">
      <c r="A31" s="111"/>
      <c r="B31" s="120" t="s">
        <v>84</v>
      </c>
      <c r="C31" s="121">
        <f>SUM(C26:C30)</f>
        <v>577869.49</v>
      </c>
      <c r="D31" s="121">
        <f>SUM(D26:D30)</f>
        <v>577869.49</v>
      </c>
      <c r="E31" s="111"/>
      <c r="F31" s="146"/>
      <c r="G31" s="151"/>
      <c r="H31" s="15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</row>
    <row r="32" spans="1:20" s="112" customFormat="1" ht="17.100000000000001" customHeight="1">
      <c r="A32" s="111"/>
      <c r="B32" s="123" t="s">
        <v>14</v>
      </c>
      <c r="C32" s="124">
        <f>C21-C31</f>
        <v>625460.8200000003</v>
      </c>
      <c r="D32" s="124">
        <f>D21-D31</f>
        <v>625460.8200000003</v>
      </c>
      <c r="E32" s="111"/>
      <c r="F32" s="146"/>
      <c r="G32" s="151"/>
      <c r="H32" s="15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</row>
    <row r="33" spans="1:20" ht="15.75" customHeight="1">
      <c r="A33" s="106"/>
      <c r="B33" s="106"/>
      <c r="C33" s="109"/>
      <c r="D33" s="109"/>
      <c r="E33" s="106"/>
      <c r="F33" s="147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</row>
    <row r="34" spans="1:20" s="112" customFormat="1" ht="15.75" customHeight="1">
      <c r="A34" s="111"/>
      <c r="B34" s="295" t="s">
        <v>15</v>
      </c>
      <c r="C34" s="296"/>
      <c r="D34" s="296"/>
      <c r="E34" s="111"/>
      <c r="F34" s="146"/>
      <c r="G34" s="151"/>
      <c r="H34" s="15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 s="112" customFormat="1" ht="15.75" customHeight="1">
      <c r="A35" s="111"/>
      <c r="B35" s="289" t="s">
        <v>16</v>
      </c>
      <c r="C35" s="290"/>
      <c r="D35" s="290"/>
      <c r="E35" s="111"/>
      <c r="F35" s="146"/>
      <c r="G35" s="151"/>
      <c r="H35" s="15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</row>
    <row r="36" spans="1:20" ht="15.75" customHeight="1">
      <c r="A36" s="106"/>
      <c r="B36" s="291"/>
      <c r="C36" s="292"/>
      <c r="D36" s="292"/>
      <c r="E36" s="106"/>
      <c r="F36" s="147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</row>
    <row r="37" spans="1:20" ht="15.75" customHeight="1">
      <c r="A37" s="106"/>
      <c r="B37" s="127" t="s">
        <v>17</v>
      </c>
      <c r="C37" s="299" t="s">
        <v>2</v>
      </c>
      <c r="D37" s="300"/>
      <c r="E37" s="106"/>
      <c r="F37" s="147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</row>
    <row r="38" spans="1:20" ht="15.75" customHeight="1">
      <c r="A38" s="106"/>
      <c r="B38" s="114" t="s">
        <v>18</v>
      </c>
      <c r="C38" s="301">
        <v>0</v>
      </c>
      <c r="D38" s="302"/>
      <c r="E38" s="106"/>
      <c r="F38" s="147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0" ht="15.75" customHeight="1">
      <c r="A39" s="106"/>
      <c r="B39" s="114" t="s">
        <v>19</v>
      </c>
      <c r="C39" s="301">
        <v>336.91</v>
      </c>
      <c r="D39" s="302"/>
      <c r="E39" s="106"/>
      <c r="F39" s="147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</row>
    <row r="40" spans="1:20" ht="15.75" customHeight="1">
      <c r="A40" s="106"/>
      <c r="B40" s="114" t="s">
        <v>132</v>
      </c>
      <c r="C40" s="301">
        <v>0</v>
      </c>
      <c r="D40" s="302"/>
      <c r="E40" s="106"/>
      <c r="F40" s="147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</row>
    <row r="41" spans="1:20" ht="15.75" customHeight="1">
      <c r="A41" s="106"/>
      <c r="B41" s="114" t="s">
        <v>20</v>
      </c>
      <c r="C41" s="301">
        <v>558869.25</v>
      </c>
      <c r="D41" s="302"/>
      <c r="E41" s="106"/>
      <c r="F41" s="147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</row>
    <row r="42" spans="1:20" ht="15.75" customHeight="1">
      <c r="A42" s="106"/>
      <c r="B42" s="114" t="s">
        <v>21</v>
      </c>
      <c r="C42" s="301">
        <v>7554.8</v>
      </c>
      <c r="D42" s="302"/>
      <c r="E42" s="106"/>
      <c r="F42" s="147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</row>
    <row r="43" spans="1:20" ht="15.75" customHeight="1">
      <c r="A43" s="106"/>
      <c r="B43" s="114" t="s">
        <v>22</v>
      </c>
      <c r="C43" s="301">
        <v>126682.24000000001</v>
      </c>
      <c r="D43" s="302"/>
      <c r="E43" s="106"/>
      <c r="F43" s="147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</row>
    <row r="44" spans="1:20" ht="15.75" customHeight="1">
      <c r="A44" s="106"/>
      <c r="B44" s="118" t="s">
        <v>23</v>
      </c>
      <c r="C44" s="303">
        <f>SUM(C38:C43)</f>
        <v>693443.20000000007</v>
      </c>
      <c r="D44" s="304"/>
      <c r="E44" s="106"/>
      <c r="F44" s="147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</row>
    <row r="45" spans="1:20" ht="15.75" customHeight="1">
      <c r="A45" s="106"/>
      <c r="B45" s="106"/>
      <c r="C45" s="150"/>
      <c r="D45" s="150"/>
      <c r="E45" s="106"/>
      <c r="F45" s="147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</row>
    <row r="46" spans="1:20" ht="15.75" customHeight="1">
      <c r="A46" s="106"/>
      <c r="B46" s="118" t="s">
        <v>24</v>
      </c>
      <c r="C46" s="297" t="s">
        <v>2</v>
      </c>
      <c r="D46" s="298"/>
      <c r="E46" s="106"/>
      <c r="F46" s="147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</row>
    <row r="47" spans="1:20" ht="15.75" customHeight="1">
      <c r="A47" s="106"/>
      <c r="B47" s="114" t="s">
        <v>25</v>
      </c>
      <c r="C47" s="301">
        <v>37502266.25</v>
      </c>
      <c r="D47" s="302"/>
    </row>
    <row r="48" spans="1:20" ht="15.75" customHeight="1">
      <c r="B48" s="114" t="s">
        <v>26</v>
      </c>
      <c r="C48" s="301">
        <v>10870519.810000001</v>
      </c>
      <c r="D48" s="302"/>
    </row>
    <row r="49" spans="2:4" ht="15.75" customHeight="1">
      <c r="B49" s="114" t="s">
        <v>27</v>
      </c>
      <c r="C49" s="301">
        <v>0</v>
      </c>
      <c r="D49" s="302"/>
    </row>
    <row r="50" spans="2:4" ht="15.75" customHeight="1">
      <c r="B50" s="114" t="s">
        <v>131</v>
      </c>
      <c r="C50" s="301">
        <v>281213.8</v>
      </c>
      <c r="D50" s="302"/>
    </row>
    <row r="51" spans="2:4" ht="15.75" customHeight="1">
      <c r="B51" s="118" t="s">
        <v>28</v>
      </c>
      <c r="C51" s="303">
        <f>SUM(C47:C50)-C44</f>
        <v>47960556.659999996</v>
      </c>
      <c r="D51" s="304"/>
    </row>
    <row r="52" spans="2:4" ht="15.75" customHeight="1">
      <c r="B52" s="131"/>
      <c r="C52" s="132"/>
      <c r="D52" s="132"/>
    </row>
    <row r="53" spans="2:4" ht="15.75" customHeight="1">
      <c r="B53" s="133" t="s">
        <v>29</v>
      </c>
      <c r="C53" s="305">
        <f>C51+C44</f>
        <v>48653999.859999999</v>
      </c>
      <c r="D53" s="306"/>
    </row>
    <row r="54" spans="2:4" ht="15.75" customHeight="1">
      <c r="B54" s="106"/>
      <c r="C54" s="109"/>
      <c r="D54" s="109"/>
    </row>
    <row r="55" spans="2:4" ht="15.75" customHeight="1">
      <c r="B55" s="106"/>
      <c r="C55" s="109"/>
      <c r="D55" s="109"/>
    </row>
    <row r="56" spans="2:4" ht="15.75" customHeight="1">
      <c r="B56" s="106"/>
      <c r="C56" s="109"/>
      <c r="D56" s="109"/>
    </row>
    <row r="57" spans="2:4" ht="15.75" customHeight="1">
      <c r="B57" s="106"/>
      <c r="C57" s="109"/>
      <c r="D57" s="109"/>
    </row>
    <row r="58" spans="2:4" ht="15.75" customHeight="1">
      <c r="B58" s="106"/>
      <c r="C58" s="109"/>
      <c r="D58" s="109"/>
    </row>
    <row r="59" spans="2:4" ht="15.75" customHeight="1">
      <c r="B59" s="106"/>
      <c r="C59" s="106"/>
    </row>
    <row r="60" spans="2:4" ht="15.75" customHeight="1">
      <c r="B60" s="106"/>
      <c r="C60" s="106"/>
    </row>
    <row r="61" spans="2:4" ht="15.75" customHeight="1">
      <c r="B61" s="284"/>
      <c r="C61" s="284"/>
    </row>
  </sheetData>
  <mergeCells count="20">
    <mergeCell ref="C44:D44"/>
    <mergeCell ref="B7:D8"/>
    <mergeCell ref="B23:D24"/>
    <mergeCell ref="B34:D34"/>
    <mergeCell ref="B35:D36"/>
    <mergeCell ref="C37:D37"/>
    <mergeCell ref="C38:D38"/>
    <mergeCell ref="C39:D39"/>
    <mergeCell ref="C40:D40"/>
    <mergeCell ref="C41:D41"/>
    <mergeCell ref="C42:D42"/>
    <mergeCell ref="C43:D43"/>
    <mergeCell ref="C53:D53"/>
    <mergeCell ref="B61:C61"/>
    <mergeCell ref="C46:D46"/>
    <mergeCell ref="C47:D47"/>
    <mergeCell ref="C48:D48"/>
    <mergeCell ref="C49:D49"/>
    <mergeCell ref="C50:D50"/>
    <mergeCell ref="C51:D51"/>
  </mergeCells>
  <pageMargins left="0.78740157480314954" right="0.78740157480314954" top="1.1811023622047245" bottom="1.1811023622047245" header="0.78740157480314954" footer="0.78740157480314954"/>
  <pageSetup paperSize="9" scale="3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1"/>
  <sheetViews>
    <sheetView showGridLines="0" workbookViewId="0">
      <selection activeCell="C26" sqref="C26:D30"/>
    </sheetView>
  </sheetViews>
  <sheetFormatPr defaultRowHeight="15.75" customHeight="1"/>
  <cols>
    <col min="1" max="1" width="15.5703125" style="108" customWidth="1"/>
    <col min="2" max="2" width="59.7109375" style="108" customWidth="1"/>
    <col min="3" max="5" width="20" style="108" bestFit="1" customWidth="1"/>
    <col min="6" max="6" width="6.85546875" style="108" customWidth="1"/>
    <col min="7" max="7" width="18.42578125" style="148" bestFit="1" customWidth="1"/>
    <col min="8" max="8" width="14.7109375" style="151" bestFit="1" customWidth="1"/>
    <col min="9" max="9" width="13.5703125" style="151" bestFit="1" customWidth="1"/>
    <col min="10" max="21" width="9.5703125" style="108" customWidth="1"/>
    <col min="22" max="1025" width="9.42578125" style="108" customWidth="1"/>
    <col min="1026" max="16384" width="9.140625" style="108"/>
  </cols>
  <sheetData>
    <row r="1" spans="1:21" ht="15.75" customHeight="1">
      <c r="A1" s="106" t="s">
        <v>118</v>
      </c>
      <c r="B1" s="106"/>
      <c r="C1" s="109"/>
      <c r="D1" s="109"/>
      <c r="E1" s="109"/>
      <c r="F1" s="106"/>
      <c r="G1" s="144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</row>
    <row r="2" spans="1:21" ht="15.75" customHeight="1">
      <c r="A2" s="106"/>
      <c r="B2" s="106"/>
      <c r="C2" s="109"/>
      <c r="D2" s="109"/>
      <c r="E2" s="109"/>
      <c r="F2" s="106"/>
      <c r="G2" s="144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1" ht="15.75" customHeight="1">
      <c r="A3" s="106"/>
      <c r="B3" s="106"/>
      <c r="C3" s="109"/>
      <c r="D3" s="109"/>
      <c r="E3" s="109"/>
      <c r="F3" s="106"/>
      <c r="G3" s="144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</row>
    <row r="4" spans="1:21" ht="15.75" customHeight="1">
      <c r="A4" s="106"/>
      <c r="B4" s="106"/>
      <c r="C4" s="109"/>
      <c r="D4" s="109"/>
      <c r="E4" s="109"/>
      <c r="F4" s="106"/>
      <c r="G4" s="144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</row>
    <row r="5" spans="1:21" ht="15.75" customHeight="1">
      <c r="A5" s="106"/>
      <c r="B5" s="106"/>
      <c r="C5" s="109"/>
      <c r="D5" s="109"/>
      <c r="E5" s="109"/>
      <c r="F5" s="106"/>
      <c r="G5" s="144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</row>
    <row r="6" spans="1:21" s="141" customFormat="1" ht="24.95" customHeight="1">
      <c r="A6" s="140"/>
      <c r="B6" s="139" t="s">
        <v>0</v>
      </c>
      <c r="C6" s="139" t="s">
        <v>151</v>
      </c>
      <c r="D6" s="139" t="s">
        <v>31</v>
      </c>
      <c r="E6" s="139">
        <v>2022</v>
      </c>
      <c r="F6" s="140"/>
      <c r="G6" s="145"/>
      <c r="H6" s="151"/>
      <c r="I6" s="151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</row>
    <row r="7" spans="1:21" s="112" customFormat="1" ht="15.75" customHeight="1">
      <c r="A7" s="111"/>
      <c r="B7" s="289" t="s">
        <v>127</v>
      </c>
      <c r="C7" s="290"/>
      <c r="D7" s="290"/>
      <c r="E7" s="290"/>
      <c r="F7" s="111"/>
      <c r="G7" s="146"/>
      <c r="H7" s="151"/>
      <c r="I7" s="15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</row>
    <row r="8" spans="1:21" s="142" customFormat="1" ht="15.75" customHeight="1">
      <c r="A8" s="111"/>
      <c r="B8" s="291"/>
      <c r="C8" s="292"/>
      <c r="D8" s="292"/>
      <c r="E8" s="292"/>
      <c r="F8" s="111"/>
      <c r="G8" s="146"/>
      <c r="H8" s="151"/>
      <c r="I8" s="15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</row>
    <row r="9" spans="1:21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1"/>
      <c r="G9" s="146"/>
      <c r="H9" s="151"/>
      <c r="I9" s="15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</row>
    <row r="10" spans="1:21" ht="17.100000000000001" customHeight="1">
      <c r="A10" s="106"/>
      <c r="B10" s="136" t="s">
        <v>3</v>
      </c>
      <c r="C10" s="138">
        <v>358179.72</v>
      </c>
      <c r="D10" s="138">
        <f>467985.07+2546.27</f>
        <v>470531.34</v>
      </c>
      <c r="E10" s="138">
        <f>SUM(C10:D10)</f>
        <v>828711.06</v>
      </c>
      <c r="F10" s="106"/>
      <c r="G10" s="147"/>
      <c r="H10" s="152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</row>
    <row r="11" spans="1:21" ht="17.100000000000001" customHeight="1">
      <c r="A11" s="106"/>
      <c r="B11" s="114" t="s">
        <v>4</v>
      </c>
      <c r="C11" s="135">
        <v>227932.55</v>
      </c>
      <c r="D11" s="135">
        <v>452327.34</v>
      </c>
      <c r="E11" s="138">
        <f t="shared" ref="E11:E20" si="0">SUM(C11:D11)</f>
        <v>680259.89</v>
      </c>
      <c r="F11" s="106"/>
      <c r="G11" s="147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</row>
    <row r="12" spans="1:21" ht="17.100000000000001" customHeight="1">
      <c r="A12" s="106"/>
      <c r="B12" s="114" t="s">
        <v>152</v>
      </c>
      <c r="C12" s="115">
        <v>126693.92</v>
      </c>
      <c r="D12" s="115">
        <v>126693.92</v>
      </c>
      <c r="E12" s="138">
        <f t="shared" si="0"/>
        <v>253387.84</v>
      </c>
      <c r="F12" s="106"/>
      <c r="G12" s="147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</row>
    <row r="13" spans="1:21" ht="17.100000000000001" customHeight="1">
      <c r="A13" s="106"/>
      <c r="B13" s="114" t="s">
        <v>6</v>
      </c>
      <c r="C13" s="115">
        <v>98226.79</v>
      </c>
      <c r="D13" s="115">
        <v>38967.99</v>
      </c>
      <c r="E13" s="138">
        <f t="shared" si="0"/>
        <v>137194.78</v>
      </c>
      <c r="G13" s="147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</row>
    <row r="14" spans="1:21" ht="17.100000000000001" customHeight="1">
      <c r="A14" s="106"/>
      <c r="B14" s="114" t="s">
        <v>153</v>
      </c>
      <c r="C14" s="115">
        <v>54884.88</v>
      </c>
      <c r="D14" s="115">
        <v>54487.12</v>
      </c>
      <c r="E14" s="138">
        <f t="shared" si="0"/>
        <v>109372</v>
      </c>
      <c r="F14" s="106"/>
      <c r="G14" s="147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</row>
    <row r="15" spans="1:21" ht="17.100000000000001" customHeight="1">
      <c r="A15" s="106"/>
      <c r="B15" s="114" t="s">
        <v>154</v>
      </c>
      <c r="C15" s="115">
        <v>0</v>
      </c>
      <c r="D15" s="115">
        <v>23811.51</v>
      </c>
      <c r="E15" s="138">
        <f t="shared" si="0"/>
        <v>23811.51</v>
      </c>
      <c r="F15" s="106"/>
      <c r="G15" s="147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</row>
    <row r="16" spans="1:21" ht="17.100000000000001" customHeight="1">
      <c r="A16" s="106"/>
      <c r="B16" s="114" t="s">
        <v>155</v>
      </c>
      <c r="C16" s="115">
        <v>11840.9</v>
      </c>
      <c r="D16" s="115">
        <v>11697.01</v>
      </c>
      <c r="E16" s="138">
        <f t="shared" si="0"/>
        <v>23537.91</v>
      </c>
      <c r="F16" s="106"/>
      <c r="G16" s="147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</row>
    <row r="17" spans="1:21" ht="17.100000000000001" customHeight="1">
      <c r="A17" s="106"/>
      <c r="B17" s="114" t="s">
        <v>156</v>
      </c>
      <c r="C17" s="115">
        <v>4936.5200000000004</v>
      </c>
      <c r="D17" s="115">
        <v>4876.53</v>
      </c>
      <c r="E17" s="138">
        <f t="shared" si="0"/>
        <v>9813.0499999999993</v>
      </c>
      <c r="F17" s="106"/>
      <c r="G17" s="147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</row>
    <row r="18" spans="1:21" ht="17.100000000000001" customHeight="1">
      <c r="A18" s="106"/>
      <c r="B18" s="114" t="s">
        <v>157</v>
      </c>
      <c r="C18" s="115">
        <v>17026.22</v>
      </c>
      <c r="D18" s="115">
        <v>16706.07</v>
      </c>
      <c r="E18" s="138">
        <f t="shared" si="0"/>
        <v>33732.29</v>
      </c>
      <c r="F18" s="106"/>
      <c r="G18" s="147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</row>
    <row r="19" spans="1:21" ht="17.100000000000001" customHeight="1">
      <c r="A19" s="106"/>
      <c r="B19" s="114" t="s">
        <v>7</v>
      </c>
      <c r="C19" s="115">
        <v>0</v>
      </c>
      <c r="D19" s="115">
        <v>0</v>
      </c>
      <c r="E19" s="138">
        <f t="shared" si="0"/>
        <v>0</v>
      </c>
      <c r="F19" s="106"/>
      <c r="G19" s="147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</row>
    <row r="20" spans="1:21" ht="17.100000000000001" customHeight="1">
      <c r="A20" s="106"/>
      <c r="B20" s="114" t="s">
        <v>149</v>
      </c>
      <c r="C20" s="115">
        <v>1168.1199999999999</v>
      </c>
      <c r="D20" s="115">
        <v>3231.48</v>
      </c>
      <c r="E20" s="138">
        <f t="shared" si="0"/>
        <v>4399.6000000000004</v>
      </c>
      <c r="F20" s="106"/>
      <c r="G20" s="147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</row>
    <row r="21" spans="1:21" s="112" customFormat="1" ht="15.75" customHeight="1">
      <c r="A21" s="111"/>
      <c r="B21" s="116" t="s">
        <v>9</v>
      </c>
      <c r="C21" s="117">
        <f>SUM(C10:C20)</f>
        <v>900889.62000000011</v>
      </c>
      <c r="D21" s="117">
        <f>SUM(D10:D20)</f>
        <v>1203330.3100000003</v>
      </c>
      <c r="E21" s="117">
        <f>SUM(E10:E20)</f>
        <v>2104219.9300000002</v>
      </c>
      <c r="F21" s="111"/>
      <c r="G21" s="146"/>
      <c r="H21" s="151"/>
      <c r="I21" s="15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</row>
    <row r="22" spans="1:21" ht="15.75" customHeight="1">
      <c r="A22" s="106"/>
      <c r="B22" s="106"/>
      <c r="C22" s="109"/>
      <c r="D22" s="109"/>
      <c r="E22" s="109"/>
      <c r="F22" s="106"/>
      <c r="G22" s="147" t="s">
        <v>118</v>
      </c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</row>
    <row r="23" spans="1:21" s="112" customFormat="1" ht="15.75" customHeight="1">
      <c r="A23" s="111"/>
      <c r="B23" s="289" t="s">
        <v>128</v>
      </c>
      <c r="C23" s="290"/>
      <c r="D23" s="290"/>
      <c r="E23" s="290"/>
      <c r="F23" s="111"/>
      <c r="G23" s="146"/>
      <c r="H23" s="151"/>
      <c r="I23" s="15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</row>
    <row r="24" spans="1:21" ht="15.75" customHeight="1">
      <c r="A24" s="106"/>
      <c r="B24" s="291"/>
      <c r="C24" s="292"/>
      <c r="D24" s="292"/>
      <c r="E24" s="292"/>
      <c r="F24" s="106"/>
      <c r="G24" s="147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</row>
    <row r="25" spans="1:21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06"/>
      <c r="G25" s="147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</row>
    <row r="26" spans="1:21" ht="17.100000000000001" customHeight="1">
      <c r="A26" s="106"/>
      <c r="B26" s="114" t="s">
        <v>159</v>
      </c>
      <c r="C26" s="189">
        <v>495470.49</v>
      </c>
      <c r="D26" s="115">
        <v>487626.13</v>
      </c>
      <c r="E26" s="115">
        <f>SUM(C26:D26)</f>
        <v>983096.62</v>
      </c>
      <c r="F26" s="106"/>
      <c r="G26" s="147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</row>
    <row r="27" spans="1:21" ht="17.100000000000001" customHeight="1">
      <c r="A27" s="106"/>
      <c r="B27" s="114" t="s">
        <v>150</v>
      </c>
      <c r="C27" s="189">
        <v>63584.02</v>
      </c>
      <c r="D27" s="115">
        <v>65481.06</v>
      </c>
      <c r="E27" s="115">
        <f t="shared" ref="E27:E30" si="1">SUM(C27:D27)</f>
        <v>129065.07999999999</v>
      </c>
      <c r="F27" s="106"/>
      <c r="G27" s="147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</row>
    <row r="28" spans="1:21" ht="17.100000000000001" customHeight="1">
      <c r="A28" s="106"/>
      <c r="B28" s="114" t="s">
        <v>129</v>
      </c>
      <c r="C28" s="190">
        <v>21886.080000000002</v>
      </c>
      <c r="D28" s="119">
        <v>17676.18</v>
      </c>
      <c r="E28" s="115">
        <f t="shared" si="1"/>
        <v>39562.26</v>
      </c>
      <c r="F28" s="106"/>
      <c r="G28" s="147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</row>
    <row r="29" spans="1:21" ht="17.100000000000001" customHeight="1">
      <c r="A29" s="106"/>
      <c r="B29" s="114" t="s">
        <v>13</v>
      </c>
      <c r="C29" s="189">
        <v>0</v>
      </c>
      <c r="D29" s="115">
        <v>0</v>
      </c>
      <c r="E29" s="115">
        <f t="shared" si="1"/>
        <v>0</v>
      </c>
      <c r="F29" s="106"/>
      <c r="G29" s="147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</row>
    <row r="30" spans="1:21" ht="17.100000000000001" customHeight="1">
      <c r="A30" s="106"/>
      <c r="B30" s="114" t="s">
        <v>130</v>
      </c>
      <c r="C30" s="190">
        <v>14595.13</v>
      </c>
      <c r="D30" s="119">
        <v>7086.12</v>
      </c>
      <c r="E30" s="115">
        <f t="shared" si="1"/>
        <v>21681.25</v>
      </c>
      <c r="F30" s="106"/>
      <c r="G30" s="147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</row>
    <row r="31" spans="1:21" s="112" customFormat="1" ht="17.100000000000001" customHeight="1">
      <c r="A31" s="111"/>
      <c r="B31" s="120" t="s">
        <v>84</v>
      </c>
      <c r="C31" s="121">
        <f>SUM(C26:C30)</f>
        <v>595535.72</v>
      </c>
      <c r="D31" s="121">
        <f>SUM(D26:D30)</f>
        <v>577869.49</v>
      </c>
      <c r="E31" s="121">
        <f>SUM(E26:E30)</f>
        <v>1173405.21</v>
      </c>
      <c r="F31" s="111"/>
      <c r="G31" s="146"/>
      <c r="H31" s="151"/>
      <c r="I31" s="15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</row>
    <row r="32" spans="1:21" s="112" customFormat="1" ht="17.100000000000001" customHeight="1">
      <c r="A32" s="111"/>
      <c r="B32" s="163" t="s">
        <v>14</v>
      </c>
      <c r="C32" s="164">
        <f>C21-C31</f>
        <v>305353.90000000014</v>
      </c>
      <c r="D32" s="164">
        <f>D21-D31</f>
        <v>625460.8200000003</v>
      </c>
      <c r="E32" s="159">
        <f>E21-E31</f>
        <v>930814.7200000002</v>
      </c>
      <c r="F32" s="111"/>
      <c r="G32" s="146"/>
      <c r="H32" s="151"/>
      <c r="I32" s="15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</row>
    <row r="33" spans="1:21" ht="15.75" customHeight="1">
      <c r="A33" s="106"/>
      <c r="B33" s="106"/>
      <c r="C33" s="109"/>
      <c r="D33" s="109"/>
      <c r="E33" s="109"/>
      <c r="F33" s="106"/>
      <c r="G33" s="147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</row>
    <row r="34" spans="1:21" s="112" customFormat="1" ht="15.75" customHeight="1">
      <c r="A34" s="111"/>
      <c r="B34" s="307" t="s">
        <v>15</v>
      </c>
      <c r="C34" s="308"/>
      <c r="D34" s="308"/>
      <c r="E34" s="309"/>
      <c r="F34" s="111"/>
      <c r="G34" s="146"/>
      <c r="H34" s="151"/>
      <c r="I34" s="15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</row>
    <row r="35" spans="1:21" s="112" customFormat="1" ht="15.75" customHeight="1">
      <c r="A35" s="111"/>
      <c r="B35" s="289" t="s">
        <v>158</v>
      </c>
      <c r="C35" s="290"/>
      <c r="D35" s="290"/>
      <c r="E35" s="310"/>
      <c r="F35" s="111"/>
      <c r="G35" s="146"/>
      <c r="H35" s="151"/>
      <c r="I35" s="15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</row>
    <row r="36" spans="1:21" ht="15.75" customHeight="1">
      <c r="A36" s="106"/>
      <c r="B36" s="291"/>
      <c r="C36" s="292"/>
      <c r="D36" s="292"/>
      <c r="E36" s="311"/>
      <c r="F36" s="106"/>
      <c r="G36" s="147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</row>
    <row r="37" spans="1:21" ht="15.75" customHeight="1">
      <c r="A37" s="106"/>
      <c r="B37" s="153" t="s">
        <v>17</v>
      </c>
      <c r="C37" s="154"/>
      <c r="D37" s="154"/>
      <c r="E37" s="130" t="s">
        <v>2</v>
      </c>
      <c r="F37" s="147"/>
      <c r="G37" s="151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</row>
    <row r="38" spans="1:21" ht="15.75" customHeight="1">
      <c r="A38" s="106"/>
      <c r="B38" s="136" t="s">
        <v>18</v>
      </c>
      <c r="C38" s="155"/>
      <c r="D38" s="155"/>
      <c r="E38" s="161">
        <v>22668.42</v>
      </c>
      <c r="F38" s="147"/>
      <c r="G38" s="151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1" ht="15.75" customHeight="1">
      <c r="A39" s="106"/>
      <c r="B39" s="136" t="s">
        <v>19</v>
      </c>
      <c r="C39" s="155"/>
      <c r="D39" s="155"/>
      <c r="E39" s="161">
        <v>0</v>
      </c>
      <c r="F39" s="147"/>
      <c r="G39" s="151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</row>
    <row r="40" spans="1:21" ht="15.75" customHeight="1">
      <c r="A40" s="106"/>
      <c r="B40" s="136" t="s">
        <v>132</v>
      </c>
      <c r="C40" s="155"/>
      <c r="D40" s="155"/>
      <c r="E40" s="161">
        <v>0</v>
      </c>
      <c r="F40" s="147"/>
      <c r="G40" s="151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</row>
    <row r="41" spans="1:21" ht="15.75" customHeight="1">
      <c r="A41" s="106"/>
      <c r="B41" s="136" t="s">
        <v>20</v>
      </c>
      <c r="C41" s="155"/>
      <c r="D41" s="155"/>
      <c r="E41" s="161">
        <v>1110583.99</v>
      </c>
      <c r="F41" s="147"/>
      <c r="G41" s="151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</row>
    <row r="42" spans="1:21" ht="15.75" customHeight="1">
      <c r="A42" s="106"/>
      <c r="B42" s="136" t="s">
        <v>21</v>
      </c>
      <c r="C42" s="155"/>
      <c r="D42" s="155"/>
      <c r="E42" s="161">
        <v>22107.87</v>
      </c>
      <c r="F42" s="147"/>
      <c r="G42" s="151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</row>
    <row r="43" spans="1:21" ht="15.75" customHeight="1">
      <c r="A43" s="106"/>
      <c r="B43" s="136" t="s">
        <v>22</v>
      </c>
      <c r="C43" s="155"/>
      <c r="D43" s="155"/>
      <c r="E43" s="161">
        <v>39.32</v>
      </c>
      <c r="F43" s="147"/>
      <c r="G43" s="151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</row>
    <row r="44" spans="1:21" ht="15.75" customHeight="1">
      <c r="A44" s="106"/>
      <c r="B44" s="153" t="s">
        <v>23</v>
      </c>
      <c r="C44" s="154"/>
      <c r="D44" s="154"/>
      <c r="E44" s="160">
        <f>SUM(E38:E43)</f>
        <v>1155399.6000000001</v>
      </c>
      <c r="F44" s="147"/>
      <c r="G44" s="151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</row>
    <row r="45" spans="1:21" ht="15.75" customHeight="1">
      <c r="A45" s="106"/>
      <c r="B45" s="157"/>
      <c r="C45" s="150"/>
      <c r="D45" s="150"/>
      <c r="E45" s="150"/>
      <c r="F45" s="147"/>
      <c r="G45" s="151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</row>
    <row r="46" spans="1:21" ht="15.75" customHeight="1">
      <c r="A46" s="106"/>
      <c r="B46" s="153" t="s">
        <v>24</v>
      </c>
      <c r="C46" s="154"/>
      <c r="D46" s="154"/>
      <c r="E46" s="130" t="s">
        <v>2</v>
      </c>
      <c r="F46" s="147"/>
      <c r="G46" s="151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</row>
    <row r="47" spans="1:21" ht="15.75" customHeight="1">
      <c r="A47" s="106"/>
      <c r="B47" s="136" t="s">
        <v>25</v>
      </c>
      <c r="C47" s="155"/>
      <c r="D47" s="155"/>
      <c r="E47" s="161">
        <v>37731097.289999999</v>
      </c>
      <c r="F47" s="148"/>
      <c r="G47" s="151"/>
      <c r="I47" s="108"/>
    </row>
    <row r="48" spans="1:21" ht="15.75" customHeight="1">
      <c r="B48" s="136" t="s">
        <v>26</v>
      </c>
      <c r="C48" s="155"/>
      <c r="D48" s="155"/>
      <c r="E48" s="161">
        <v>10946409.25</v>
      </c>
      <c r="F48" s="148"/>
      <c r="G48" s="151"/>
      <c r="I48" s="108"/>
    </row>
    <row r="49" spans="2:9" ht="15.75" customHeight="1">
      <c r="B49" s="136" t="s">
        <v>27</v>
      </c>
      <c r="C49" s="155"/>
      <c r="D49" s="155"/>
      <c r="E49" s="161">
        <v>0</v>
      </c>
      <c r="F49" s="148"/>
      <c r="G49" s="151"/>
      <c r="I49" s="108"/>
    </row>
    <row r="50" spans="2:9" ht="15.75" customHeight="1">
      <c r="B50" s="136" t="s">
        <v>131</v>
      </c>
      <c r="C50" s="155"/>
      <c r="D50" s="155"/>
      <c r="E50" s="161">
        <v>267732.84000000003</v>
      </c>
      <c r="F50" s="148"/>
      <c r="G50" s="151"/>
      <c r="I50" s="108"/>
    </row>
    <row r="51" spans="2:9" ht="15.75" customHeight="1">
      <c r="B51" s="153" t="s">
        <v>28</v>
      </c>
      <c r="C51" s="154"/>
      <c r="D51" s="154"/>
      <c r="E51" s="160">
        <f>SUM(E47:E50)-E44</f>
        <v>47789839.780000001</v>
      </c>
      <c r="F51" s="148"/>
      <c r="G51" s="151"/>
      <c r="I51" s="108"/>
    </row>
    <row r="52" spans="2:9" ht="15.75" customHeight="1">
      <c r="B52" s="158"/>
      <c r="C52" s="132"/>
      <c r="D52" s="132"/>
      <c r="E52" s="155"/>
      <c r="F52" s="148"/>
      <c r="G52" s="151"/>
      <c r="I52" s="108"/>
    </row>
    <row r="53" spans="2:9" ht="15.75" customHeight="1">
      <c r="B53" s="133" t="s">
        <v>29</v>
      </c>
      <c r="C53" s="156"/>
      <c r="D53" s="156"/>
      <c r="E53" s="162">
        <f>E51+E44</f>
        <v>48945239.380000003</v>
      </c>
      <c r="F53" s="148"/>
      <c r="G53" s="151"/>
      <c r="I53" s="108"/>
    </row>
    <row r="54" spans="2:9" ht="15.75" customHeight="1">
      <c r="B54" s="106"/>
      <c r="C54" s="109"/>
      <c r="D54" s="109"/>
      <c r="E54" s="109"/>
    </row>
    <row r="55" spans="2:9" ht="15.75" customHeight="1">
      <c r="B55" s="106"/>
      <c r="C55" s="109"/>
      <c r="D55" s="109"/>
      <c r="E55" s="109"/>
    </row>
    <row r="56" spans="2:9" ht="15.75" customHeight="1">
      <c r="B56" s="106"/>
      <c r="C56" s="109"/>
      <c r="D56" s="109"/>
      <c r="E56" s="109"/>
    </row>
    <row r="57" spans="2:9" ht="15.75" customHeight="1">
      <c r="B57" s="106"/>
      <c r="C57" s="109"/>
      <c r="D57" s="109"/>
      <c r="E57" s="109"/>
    </row>
    <row r="58" spans="2:9" ht="15.75" customHeight="1">
      <c r="B58" s="106"/>
      <c r="C58" s="109"/>
      <c r="D58" s="109"/>
      <c r="E58" s="109"/>
    </row>
    <row r="59" spans="2:9" ht="15.75" customHeight="1">
      <c r="B59" s="106"/>
      <c r="C59" s="106"/>
      <c r="D59" s="106"/>
    </row>
    <row r="60" spans="2:9" ht="15.75" customHeight="1">
      <c r="B60" s="106"/>
      <c r="C60" s="106"/>
      <c r="D60" s="106"/>
    </row>
    <row r="61" spans="2:9" ht="15.75" customHeight="1">
      <c r="B61" s="106"/>
      <c r="C61" s="106"/>
      <c r="D61" s="106"/>
    </row>
  </sheetData>
  <mergeCells count="4">
    <mergeCell ref="B7:E8"/>
    <mergeCell ref="B23:E24"/>
    <mergeCell ref="B34:E34"/>
    <mergeCell ref="B35:E36"/>
  </mergeCells>
  <pageMargins left="0.78740157480314954" right="0.78740157480314954" top="1.1811023622047245" bottom="1.1811023622047245" header="0.78740157480314954" footer="0.78740157480314954"/>
  <pageSetup paperSize="9" scale="28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1"/>
  <sheetViews>
    <sheetView showGridLines="0" topLeftCell="A8" workbookViewId="0">
      <selection activeCell="C26" sqref="C26:E30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21.42578125" style="108" customWidth="1"/>
    <col min="4" max="6" width="20" style="108" bestFit="1" customWidth="1"/>
    <col min="7" max="7" width="6.85546875" style="108" customWidth="1"/>
    <col min="8" max="8" width="18.42578125" style="148" bestFit="1" customWidth="1"/>
    <col min="9" max="9" width="14.7109375" style="151" bestFit="1" customWidth="1"/>
    <col min="10" max="10" width="13.5703125" style="151" bestFit="1" customWidth="1"/>
    <col min="11" max="22" width="9.5703125" style="108" customWidth="1"/>
    <col min="23" max="1026" width="9.42578125" style="108" customWidth="1"/>
    <col min="1027" max="16384" width="9.140625" style="108"/>
  </cols>
  <sheetData>
    <row r="1" spans="1:22" ht="15.75" customHeight="1">
      <c r="A1" s="106" t="s">
        <v>118</v>
      </c>
      <c r="B1" s="106"/>
      <c r="C1" s="106"/>
      <c r="D1" s="109"/>
      <c r="E1" s="109"/>
      <c r="F1" s="109"/>
      <c r="G1" s="106"/>
      <c r="H1" s="144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</row>
    <row r="2" spans="1:22" ht="15.75" customHeight="1">
      <c r="A2" s="106"/>
      <c r="B2" s="106"/>
      <c r="C2" s="106"/>
      <c r="D2" s="109"/>
      <c r="E2" s="109"/>
      <c r="F2" s="109"/>
      <c r="G2" s="106"/>
      <c r="H2" s="144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pans="1:22" ht="15.75" customHeight="1">
      <c r="A3" s="106"/>
      <c r="B3" s="106"/>
      <c r="C3" s="106"/>
      <c r="D3" s="109"/>
      <c r="E3" s="109"/>
      <c r="F3" s="109"/>
      <c r="G3" s="106"/>
      <c r="H3" s="144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</row>
    <row r="4" spans="1:22" ht="15.75" customHeight="1">
      <c r="A4" s="106"/>
      <c r="B4" s="106"/>
      <c r="C4" s="106"/>
      <c r="D4" s="109"/>
      <c r="E4" s="109"/>
      <c r="F4" s="109"/>
      <c r="G4" s="106"/>
      <c r="H4" s="144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</row>
    <row r="5" spans="1:22" ht="15.75" customHeight="1">
      <c r="A5" s="106"/>
      <c r="B5" s="106"/>
      <c r="C5" s="106"/>
      <c r="D5" s="109"/>
      <c r="E5" s="109"/>
      <c r="F5" s="109"/>
      <c r="G5" s="106"/>
      <c r="H5" s="144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</row>
    <row r="6" spans="1:22" s="141" customFormat="1" ht="24.95" customHeight="1">
      <c r="A6" s="140"/>
      <c r="B6" s="139" t="s">
        <v>0</v>
      </c>
      <c r="C6" s="139" t="s">
        <v>44</v>
      </c>
      <c r="D6" s="139" t="s">
        <v>151</v>
      </c>
      <c r="E6" s="139" t="s">
        <v>31</v>
      </c>
      <c r="F6" s="139">
        <v>2022</v>
      </c>
      <c r="G6" s="140"/>
      <c r="H6" s="145"/>
      <c r="I6" s="151"/>
      <c r="J6" s="151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</row>
    <row r="7" spans="1:22" s="112" customFormat="1" ht="15.75" customHeight="1">
      <c r="A7" s="111"/>
      <c r="B7" s="289" t="s">
        <v>127</v>
      </c>
      <c r="C7" s="290"/>
      <c r="D7" s="290"/>
      <c r="E7" s="290"/>
      <c r="F7" s="290"/>
      <c r="G7" s="111"/>
      <c r="H7" s="146"/>
      <c r="I7" s="151"/>
      <c r="J7" s="15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</row>
    <row r="8" spans="1:22" s="142" customFormat="1" ht="15.75" customHeight="1">
      <c r="A8" s="111"/>
      <c r="B8" s="291"/>
      <c r="C8" s="292"/>
      <c r="D8" s="292"/>
      <c r="E8" s="292"/>
      <c r="F8" s="292"/>
      <c r="G8" s="111"/>
      <c r="H8" s="146"/>
      <c r="I8" s="151"/>
      <c r="J8" s="15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</row>
    <row r="9" spans="1:22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1"/>
      <c r="H9" s="146"/>
      <c r="I9" s="151"/>
      <c r="J9" s="15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</row>
    <row r="10" spans="1:22" ht="17.100000000000001" customHeight="1">
      <c r="A10" s="106"/>
      <c r="B10" s="136" t="s">
        <v>3</v>
      </c>
      <c r="C10" s="168">
        <v>636880.65</v>
      </c>
      <c r="D10" s="138">
        <v>358179.72</v>
      </c>
      <c r="E10" s="138">
        <f>467985.07+2546.27</f>
        <v>470531.34</v>
      </c>
      <c r="F10" s="138">
        <f>SUM(C10:E10)</f>
        <v>1465591.71</v>
      </c>
      <c r="G10" s="106"/>
      <c r="H10" s="147"/>
      <c r="I10" s="152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</row>
    <row r="11" spans="1:22" ht="17.100000000000001" customHeight="1">
      <c r="A11" s="106"/>
      <c r="B11" s="114" t="s">
        <v>4</v>
      </c>
      <c r="C11" s="169">
        <v>405387.8</v>
      </c>
      <c r="D11" s="135">
        <v>227932.55</v>
      </c>
      <c r="E11" s="135">
        <v>452327.34</v>
      </c>
      <c r="F11" s="138">
        <f t="shared" ref="F11:F20" si="0">SUM(C11:E11)</f>
        <v>1085647.69</v>
      </c>
      <c r="G11" s="106"/>
      <c r="H11" s="147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</row>
    <row r="12" spans="1:22" ht="17.100000000000001" customHeight="1">
      <c r="A12" s="106"/>
      <c r="B12" s="114" t="s">
        <v>160</v>
      </c>
      <c r="C12" s="170">
        <v>126693.92</v>
      </c>
      <c r="D12" s="115">
        <v>126693.92</v>
      </c>
      <c r="E12" s="115">
        <v>126693.92</v>
      </c>
      <c r="F12" s="138">
        <f t="shared" si="0"/>
        <v>380081.76</v>
      </c>
      <c r="G12" s="106"/>
      <c r="H12" s="147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</row>
    <row r="13" spans="1:22" ht="17.100000000000001" customHeight="1">
      <c r="A13" s="106"/>
      <c r="B13" s="114" t="s">
        <v>6</v>
      </c>
      <c r="C13" s="171">
        <v>809918.94</v>
      </c>
      <c r="D13" s="115">
        <v>98226.79</v>
      </c>
      <c r="E13" s="115">
        <v>38967.99</v>
      </c>
      <c r="F13" s="138">
        <f t="shared" si="0"/>
        <v>947113.72</v>
      </c>
      <c r="H13" s="147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</row>
    <row r="14" spans="1:22" ht="17.100000000000001" customHeight="1">
      <c r="A14" s="106"/>
      <c r="B14" s="114" t="s">
        <v>161</v>
      </c>
      <c r="C14" s="171">
        <v>55252.6</v>
      </c>
      <c r="D14" s="115">
        <v>54884.88</v>
      </c>
      <c r="E14" s="115">
        <v>54487.12</v>
      </c>
      <c r="F14" s="138">
        <f t="shared" si="0"/>
        <v>164624.6</v>
      </c>
      <c r="G14" s="106"/>
      <c r="H14" s="147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</row>
    <row r="15" spans="1:22" ht="17.100000000000001" customHeight="1">
      <c r="A15" s="106"/>
      <c r="B15" s="114" t="s">
        <v>154</v>
      </c>
      <c r="C15" s="171">
        <v>0</v>
      </c>
      <c r="D15" s="115">
        <v>0</v>
      </c>
      <c r="E15" s="115">
        <v>23811.51</v>
      </c>
      <c r="F15" s="138">
        <f t="shared" si="0"/>
        <v>23811.51</v>
      </c>
      <c r="G15" s="106"/>
      <c r="H15" s="147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</row>
    <row r="16" spans="1:22" ht="17.100000000000001" customHeight="1">
      <c r="A16" s="106"/>
      <c r="B16" s="114" t="s">
        <v>162</v>
      </c>
      <c r="C16" s="171">
        <v>11980.7</v>
      </c>
      <c r="D16" s="115">
        <v>11840.9</v>
      </c>
      <c r="E16" s="115">
        <v>11697.01</v>
      </c>
      <c r="F16" s="138">
        <f t="shared" si="0"/>
        <v>35518.61</v>
      </c>
      <c r="G16" s="106"/>
      <c r="H16" s="147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</row>
    <row r="17" spans="1:22" ht="17.100000000000001" customHeight="1">
      <c r="A17" s="106"/>
      <c r="B17" s="114" t="s">
        <v>163</v>
      </c>
      <c r="C17" s="171">
        <v>4994.8</v>
      </c>
      <c r="D17" s="115">
        <v>4936.5200000000004</v>
      </c>
      <c r="E17" s="115">
        <v>4876.53</v>
      </c>
      <c r="F17" s="138">
        <f t="shared" si="0"/>
        <v>14807.849999999999</v>
      </c>
      <c r="G17" s="106"/>
      <c r="H17" s="147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</row>
    <row r="18" spans="1:22" ht="17.100000000000001" customHeight="1">
      <c r="A18" s="106"/>
      <c r="B18" s="114" t="s">
        <v>164</v>
      </c>
      <c r="C18" s="171">
        <v>17111.64</v>
      </c>
      <c r="D18" s="115">
        <v>17026.22</v>
      </c>
      <c r="E18" s="115">
        <v>16706.07</v>
      </c>
      <c r="F18" s="138">
        <f t="shared" si="0"/>
        <v>50843.93</v>
      </c>
      <c r="G18" s="106"/>
      <c r="H18" s="147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</row>
    <row r="19" spans="1:22" ht="17.100000000000001" customHeight="1">
      <c r="A19" s="106"/>
      <c r="B19" s="114" t="s">
        <v>7</v>
      </c>
      <c r="C19" s="171">
        <v>11242.71</v>
      </c>
      <c r="D19" s="115">
        <v>0</v>
      </c>
      <c r="E19" s="115">
        <v>0</v>
      </c>
      <c r="F19" s="138">
        <f t="shared" si="0"/>
        <v>11242.71</v>
      </c>
      <c r="G19" s="106"/>
      <c r="H19" s="147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</row>
    <row r="20" spans="1:22" ht="17.100000000000001" customHeight="1">
      <c r="A20" s="106"/>
      <c r="B20" s="114" t="s">
        <v>149</v>
      </c>
      <c r="C20" s="171">
        <v>15557.47</v>
      </c>
      <c r="D20" s="115">
        <v>1168.1199999999999</v>
      </c>
      <c r="E20" s="115">
        <v>3231.48</v>
      </c>
      <c r="F20" s="138">
        <f t="shared" si="0"/>
        <v>19957.07</v>
      </c>
      <c r="G20" s="106"/>
      <c r="H20" s="147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</row>
    <row r="21" spans="1:22" s="112" customFormat="1" ht="15.75" customHeight="1">
      <c r="A21" s="111"/>
      <c r="B21" s="116" t="s">
        <v>9</v>
      </c>
      <c r="C21" s="117">
        <f>SUM(C10:C20)</f>
        <v>2095021.2299999997</v>
      </c>
      <c r="D21" s="117">
        <f>SUM(D10:D20)</f>
        <v>900889.62000000011</v>
      </c>
      <c r="E21" s="117">
        <f>SUM(E10:E20)</f>
        <v>1203330.3100000003</v>
      </c>
      <c r="F21" s="117">
        <f>SUM(F10:F20)</f>
        <v>4199241.16</v>
      </c>
      <c r="G21" s="111"/>
      <c r="H21" s="146"/>
      <c r="I21" s="151"/>
      <c r="J21" s="15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</row>
    <row r="22" spans="1:22" ht="15.75" customHeight="1">
      <c r="A22" s="106"/>
      <c r="B22" s="106"/>
      <c r="C22" s="106"/>
      <c r="D22" s="109"/>
      <c r="E22" s="109"/>
      <c r="F22" s="109"/>
      <c r="G22" s="106"/>
      <c r="H22" s="147" t="s">
        <v>118</v>
      </c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</row>
    <row r="23" spans="1:22" s="112" customFormat="1" ht="15.75" customHeight="1">
      <c r="A23" s="111"/>
      <c r="B23" s="289" t="s">
        <v>128</v>
      </c>
      <c r="C23" s="290"/>
      <c r="D23" s="290"/>
      <c r="E23" s="290"/>
      <c r="F23" s="290"/>
      <c r="G23" s="111"/>
      <c r="H23" s="146"/>
      <c r="I23" s="151"/>
      <c r="J23" s="15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</row>
    <row r="24" spans="1:22" ht="15.75" customHeight="1">
      <c r="A24" s="106"/>
      <c r="B24" s="291"/>
      <c r="C24" s="292"/>
      <c r="D24" s="292"/>
      <c r="E24" s="292"/>
      <c r="F24" s="292"/>
      <c r="G24" s="106"/>
      <c r="H24" s="147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</row>
    <row r="25" spans="1:22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06"/>
      <c r="H25" s="147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</row>
    <row r="26" spans="1:22" ht="17.100000000000001" customHeight="1">
      <c r="A26" s="106"/>
      <c r="B26" s="114" t="s">
        <v>165</v>
      </c>
      <c r="C26" s="179">
        <v>542075.24</v>
      </c>
      <c r="D26" s="189">
        <v>495470.49</v>
      </c>
      <c r="E26" s="115">
        <v>487626.13</v>
      </c>
      <c r="F26" s="115">
        <f>SUM(C26:E26)</f>
        <v>1525171.8599999999</v>
      </c>
      <c r="G26" s="106"/>
      <c r="H26" s="147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</row>
    <row r="27" spans="1:22" ht="17.100000000000001" customHeight="1">
      <c r="A27" s="106"/>
      <c r="B27" s="114" t="s">
        <v>150</v>
      </c>
      <c r="C27" s="179">
        <v>64945.72</v>
      </c>
      <c r="D27" s="189">
        <v>63584.02</v>
      </c>
      <c r="E27" s="115">
        <v>65481.06</v>
      </c>
      <c r="F27" s="115">
        <f t="shared" ref="F27:F30" si="1">SUM(C27:E27)</f>
        <v>194010.8</v>
      </c>
      <c r="G27" s="106"/>
      <c r="H27" s="147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</row>
    <row r="28" spans="1:22" ht="17.100000000000001" customHeight="1">
      <c r="A28" s="106"/>
      <c r="B28" s="114" t="s">
        <v>129</v>
      </c>
      <c r="C28" s="191">
        <v>24052.01</v>
      </c>
      <c r="D28" s="190">
        <v>21886.080000000002</v>
      </c>
      <c r="E28" s="119">
        <v>17676.18</v>
      </c>
      <c r="F28" s="115">
        <f t="shared" si="1"/>
        <v>63614.27</v>
      </c>
      <c r="G28" s="106"/>
      <c r="H28" s="147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</row>
    <row r="29" spans="1:22" ht="17.100000000000001" customHeight="1">
      <c r="A29" s="106"/>
      <c r="B29" s="114" t="s">
        <v>13</v>
      </c>
      <c r="C29" s="179">
        <v>0</v>
      </c>
      <c r="D29" s="189">
        <v>0</v>
      </c>
      <c r="E29" s="115">
        <v>0</v>
      </c>
      <c r="F29" s="115">
        <f t="shared" si="1"/>
        <v>0</v>
      </c>
      <c r="G29" s="106"/>
      <c r="H29" s="147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</row>
    <row r="30" spans="1:22" ht="17.100000000000001" customHeight="1">
      <c r="A30" s="106"/>
      <c r="B30" s="114" t="s">
        <v>130</v>
      </c>
      <c r="C30" s="191">
        <v>22252.83</v>
      </c>
      <c r="D30" s="190">
        <v>14595.13</v>
      </c>
      <c r="E30" s="119">
        <v>7086.12</v>
      </c>
      <c r="F30" s="115">
        <f t="shared" si="1"/>
        <v>43934.080000000002</v>
      </c>
      <c r="G30" s="106"/>
      <c r="H30" s="147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</row>
    <row r="31" spans="1:22" s="112" customFormat="1" ht="17.100000000000001" customHeight="1">
      <c r="A31" s="111"/>
      <c r="B31" s="120" t="s">
        <v>84</v>
      </c>
      <c r="C31" s="121">
        <f>SUM(C26:C30)</f>
        <v>653325.79999999993</v>
      </c>
      <c r="D31" s="121">
        <f>SUM(D26:D30)</f>
        <v>595535.72</v>
      </c>
      <c r="E31" s="121">
        <f>SUM(E26:E30)</f>
        <v>577869.49</v>
      </c>
      <c r="F31" s="121">
        <f>SUM(F26:F30)</f>
        <v>1826731.01</v>
      </c>
      <c r="G31" s="111"/>
      <c r="H31" s="146"/>
      <c r="I31" s="151"/>
      <c r="J31" s="15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</row>
    <row r="32" spans="1:22" s="112" customFormat="1" ht="17.100000000000001" customHeight="1">
      <c r="A32" s="111"/>
      <c r="B32" s="163" t="s">
        <v>14</v>
      </c>
      <c r="C32" s="164">
        <f>C21-C31</f>
        <v>1441695.4299999997</v>
      </c>
      <c r="D32" s="164">
        <f>D21-D31</f>
        <v>305353.90000000014</v>
      </c>
      <c r="E32" s="164">
        <f>E21-E31</f>
        <v>625460.8200000003</v>
      </c>
      <c r="F32" s="159">
        <f>F21-F31</f>
        <v>2372510.1500000004</v>
      </c>
      <c r="G32" s="111"/>
      <c r="H32" s="146"/>
      <c r="I32" s="151"/>
      <c r="J32" s="15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</row>
    <row r="33" spans="1:22" ht="15.75" customHeight="1">
      <c r="A33" s="106"/>
      <c r="B33" s="106"/>
      <c r="C33" s="106"/>
      <c r="D33" s="109"/>
      <c r="E33" s="109"/>
      <c r="F33" s="109"/>
      <c r="G33" s="106"/>
      <c r="H33" s="147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</row>
    <row r="34" spans="1:22" s="112" customFormat="1" ht="15.75" customHeight="1">
      <c r="A34" s="111"/>
      <c r="B34" s="307" t="s">
        <v>15</v>
      </c>
      <c r="C34" s="308"/>
      <c r="D34" s="308"/>
      <c r="E34" s="308"/>
      <c r="F34" s="309"/>
      <c r="G34" s="111"/>
      <c r="H34" s="146"/>
      <c r="I34" s="151"/>
      <c r="J34" s="15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</row>
    <row r="35" spans="1:22" s="112" customFormat="1" ht="15.75" customHeight="1">
      <c r="A35" s="111"/>
      <c r="B35" s="289" t="s">
        <v>16</v>
      </c>
      <c r="C35" s="290"/>
      <c r="D35" s="290"/>
      <c r="E35" s="290"/>
      <c r="F35" s="310"/>
      <c r="G35" s="111"/>
      <c r="H35" s="146"/>
      <c r="I35" s="151"/>
      <c r="J35" s="15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</row>
    <row r="36" spans="1:22" ht="15.75" customHeight="1">
      <c r="A36" s="106"/>
      <c r="B36" s="291"/>
      <c r="C36" s="292"/>
      <c r="D36" s="292"/>
      <c r="E36" s="292"/>
      <c r="F36" s="311"/>
      <c r="G36" s="106"/>
      <c r="H36" s="147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</row>
    <row r="37" spans="1:22" ht="15.75" customHeight="1">
      <c r="A37" s="106"/>
      <c r="B37" s="153" t="s">
        <v>17</v>
      </c>
      <c r="C37" s="165"/>
      <c r="D37" s="154"/>
      <c r="E37" s="154"/>
      <c r="F37" s="130" t="s">
        <v>2</v>
      </c>
      <c r="G37" s="147"/>
      <c r="H37" s="151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</row>
    <row r="38" spans="1:22" ht="15.75" customHeight="1">
      <c r="A38" s="106"/>
      <c r="B38" s="136" t="s">
        <v>18</v>
      </c>
      <c r="C38" s="166"/>
      <c r="D38" s="155"/>
      <c r="E38" s="155"/>
      <c r="F38" s="161">
        <v>0</v>
      </c>
      <c r="G38" s="147"/>
      <c r="H38" s="151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</row>
    <row r="39" spans="1:22" ht="15.75" customHeight="1">
      <c r="A39" s="106"/>
      <c r="B39" s="136" t="s">
        <v>19</v>
      </c>
      <c r="C39" s="166"/>
      <c r="D39" s="155"/>
      <c r="E39" s="155"/>
      <c r="F39" s="161">
        <v>941.38</v>
      </c>
      <c r="G39" s="147"/>
      <c r="H39" s="151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</row>
    <row r="40" spans="1:22" ht="15.75" customHeight="1">
      <c r="A40" s="106"/>
      <c r="B40" s="136" t="s">
        <v>132</v>
      </c>
      <c r="C40" s="166"/>
      <c r="D40" s="155"/>
      <c r="E40" s="155"/>
      <c r="F40" s="161">
        <v>0</v>
      </c>
      <c r="G40" s="147"/>
      <c r="H40" s="151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</row>
    <row r="41" spans="1:22" ht="15.75" customHeight="1">
      <c r="A41" s="106"/>
      <c r="B41" s="136" t="s">
        <v>20</v>
      </c>
      <c r="C41" s="166"/>
      <c r="D41" s="155"/>
      <c r="E41" s="155"/>
      <c r="F41" s="161">
        <v>111504.32000000001</v>
      </c>
      <c r="G41" s="147"/>
      <c r="H41" s="151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</row>
    <row r="42" spans="1:22" ht="15.75" customHeight="1">
      <c r="A42" s="106"/>
      <c r="B42" s="136" t="s">
        <v>21</v>
      </c>
      <c r="C42" s="166"/>
      <c r="D42" s="155"/>
      <c r="E42" s="155"/>
      <c r="F42" s="161">
        <v>22386.59</v>
      </c>
      <c r="G42" s="147"/>
      <c r="H42" s="151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</row>
    <row r="43" spans="1:22" ht="15.75" customHeight="1">
      <c r="A43" s="106"/>
      <c r="B43" s="136" t="s">
        <v>22</v>
      </c>
      <c r="C43" s="166"/>
      <c r="D43" s="155"/>
      <c r="E43" s="155"/>
      <c r="F43" s="161">
        <v>490.32</v>
      </c>
      <c r="G43" s="147"/>
      <c r="H43" s="151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</row>
    <row r="44" spans="1:22" ht="15.75" customHeight="1">
      <c r="A44" s="106"/>
      <c r="B44" s="153" t="s">
        <v>23</v>
      </c>
      <c r="C44" s="165"/>
      <c r="D44" s="154"/>
      <c r="E44" s="154"/>
      <c r="F44" s="160">
        <f>SUM(F38:F43)</f>
        <v>135322.61000000002</v>
      </c>
      <c r="G44" s="147"/>
      <c r="H44" s="151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</row>
    <row r="45" spans="1:22" ht="15.75" customHeight="1">
      <c r="A45" s="106"/>
      <c r="B45" s="157"/>
      <c r="C45" s="106"/>
      <c r="D45" s="150"/>
      <c r="E45" s="150"/>
      <c r="F45" s="150"/>
      <c r="G45" s="147"/>
      <c r="H45" s="151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</row>
    <row r="46" spans="1:22" ht="15.75" customHeight="1">
      <c r="A46" s="106"/>
      <c r="B46" s="153" t="s">
        <v>24</v>
      </c>
      <c r="C46" s="165"/>
      <c r="D46" s="154"/>
      <c r="E46" s="154"/>
      <c r="F46" s="130" t="s">
        <v>2</v>
      </c>
      <c r="G46" s="147"/>
      <c r="H46" s="151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</row>
    <row r="47" spans="1:22" ht="15.75" customHeight="1">
      <c r="A47" s="106"/>
      <c r="B47" s="136" t="s">
        <v>25</v>
      </c>
      <c r="C47" s="166"/>
      <c r="D47" s="155"/>
      <c r="E47" s="155"/>
      <c r="F47" s="161">
        <v>37991731.82</v>
      </c>
      <c r="G47" s="148"/>
      <c r="H47" s="151"/>
      <c r="J47" s="108"/>
    </row>
    <row r="48" spans="1:22" ht="15.75" customHeight="1">
      <c r="B48" s="136" t="s">
        <v>26</v>
      </c>
      <c r="C48" s="166"/>
      <c r="D48" s="155"/>
      <c r="E48" s="155"/>
      <c r="F48" s="161">
        <v>12150735.119999999</v>
      </c>
      <c r="G48" s="148"/>
      <c r="H48" s="151"/>
      <c r="J48" s="108"/>
    </row>
    <row r="49" spans="2:10" ht="15.75" customHeight="1">
      <c r="B49" s="136" t="s">
        <v>27</v>
      </c>
      <c r="C49" s="166"/>
      <c r="D49" s="155"/>
      <c r="E49" s="155"/>
      <c r="F49" s="161">
        <v>0</v>
      </c>
      <c r="G49" s="148"/>
      <c r="H49" s="151"/>
      <c r="J49" s="108"/>
    </row>
    <row r="50" spans="2:10" ht="15.75" customHeight="1">
      <c r="B50" s="136" t="s">
        <v>131</v>
      </c>
      <c r="C50" s="166"/>
      <c r="D50" s="155"/>
      <c r="E50" s="155"/>
      <c r="F50" s="161">
        <v>253219.44</v>
      </c>
      <c r="G50" s="148"/>
      <c r="H50" s="151"/>
      <c r="J50" s="108"/>
    </row>
    <row r="51" spans="2:10" ht="15.75" customHeight="1">
      <c r="B51" s="153" t="s">
        <v>28</v>
      </c>
      <c r="C51" s="165"/>
      <c r="D51" s="154"/>
      <c r="E51" s="154"/>
      <c r="F51" s="160">
        <f>SUM(F47:F50)-F44</f>
        <v>50260363.769999996</v>
      </c>
      <c r="G51" s="148"/>
      <c r="H51" s="151"/>
      <c r="J51" s="108"/>
    </row>
    <row r="52" spans="2:10" ht="15.75" customHeight="1">
      <c r="B52" s="158"/>
      <c r="C52" s="131"/>
      <c r="D52" s="132"/>
      <c r="E52" s="132"/>
      <c r="F52" s="155"/>
      <c r="G52" s="148"/>
      <c r="H52" s="151"/>
      <c r="J52" s="108"/>
    </row>
    <row r="53" spans="2:10" ht="15.75" customHeight="1">
      <c r="B53" s="133" t="s">
        <v>29</v>
      </c>
      <c r="C53" s="167"/>
      <c r="D53" s="156"/>
      <c r="E53" s="156"/>
      <c r="F53" s="162">
        <f>F51+F44</f>
        <v>50395686.379999995</v>
      </c>
      <c r="G53" s="148"/>
      <c r="H53" s="151"/>
      <c r="J53" s="108"/>
    </row>
    <row r="54" spans="2:10" ht="15.75" customHeight="1">
      <c r="B54" s="106"/>
      <c r="C54" s="106"/>
      <c r="D54" s="109"/>
      <c r="E54" s="109"/>
      <c r="F54" s="109"/>
    </row>
    <row r="55" spans="2:10" ht="15.75" customHeight="1">
      <c r="B55" s="106"/>
      <c r="C55" s="106"/>
      <c r="D55" s="109"/>
      <c r="E55" s="109"/>
      <c r="F55" s="109"/>
    </row>
    <row r="56" spans="2:10" ht="15.75" customHeight="1">
      <c r="B56" s="106"/>
      <c r="C56" s="106"/>
      <c r="D56" s="109"/>
      <c r="E56" s="109"/>
      <c r="F56" s="109"/>
    </row>
    <row r="57" spans="2:10" ht="15.75" customHeight="1">
      <c r="B57" s="106"/>
      <c r="C57" s="106"/>
      <c r="D57" s="109"/>
      <c r="E57" s="109"/>
      <c r="F57" s="109"/>
    </row>
    <row r="58" spans="2:10" ht="15.75" customHeight="1">
      <c r="B58" s="106"/>
      <c r="C58" s="106"/>
      <c r="D58" s="109"/>
      <c r="E58" s="109"/>
      <c r="F58" s="109"/>
    </row>
    <row r="59" spans="2:10" ht="15.75" customHeight="1">
      <c r="B59" s="106"/>
      <c r="C59" s="106"/>
      <c r="D59" s="106"/>
      <c r="E59" s="106"/>
    </row>
    <row r="60" spans="2:10" ht="15.75" customHeight="1">
      <c r="B60" s="106"/>
      <c r="C60" s="106"/>
      <c r="D60" s="106"/>
      <c r="E60" s="106"/>
    </row>
    <row r="61" spans="2:10" ht="15.75" customHeight="1">
      <c r="B61" s="106"/>
      <c r="C61" s="106"/>
      <c r="D61" s="106"/>
      <c r="E61" s="106"/>
    </row>
  </sheetData>
  <mergeCells count="4">
    <mergeCell ref="B7:F8"/>
    <mergeCell ref="B23:F24"/>
    <mergeCell ref="B34:F34"/>
    <mergeCell ref="B35:F36"/>
  </mergeCells>
  <pageMargins left="0.78740157480314954" right="0.78740157480314954" top="1.1811023622047245" bottom="1.1811023622047245" header="0.78740157480314954" footer="0.78740157480314954"/>
  <pageSetup paperSize="9" scale="26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1"/>
  <sheetViews>
    <sheetView showGridLines="0" workbookViewId="0">
      <selection activeCell="D26" sqref="D26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18.7109375" style="108" bestFit="1" customWidth="1"/>
    <col min="4" max="4" width="21.42578125" style="108" customWidth="1"/>
    <col min="5" max="7" width="20" style="108" bestFit="1" customWidth="1"/>
    <col min="8" max="8" width="6.85546875" style="108" customWidth="1"/>
    <col min="9" max="9" width="18.42578125" style="148" bestFit="1" customWidth="1"/>
    <col min="10" max="10" width="14.7109375" style="151" bestFit="1" customWidth="1"/>
    <col min="11" max="11" width="13.5703125" style="151" bestFit="1" customWidth="1"/>
    <col min="12" max="23" width="9.5703125" style="108" customWidth="1"/>
    <col min="24" max="1027" width="9.42578125" style="108" customWidth="1"/>
    <col min="1028" max="16384" width="9.140625" style="108"/>
  </cols>
  <sheetData>
    <row r="1" spans="1:23" ht="15.75" customHeight="1">
      <c r="A1" s="106" t="s">
        <v>118</v>
      </c>
      <c r="B1" s="106"/>
      <c r="C1" s="106"/>
      <c r="D1" s="106"/>
      <c r="E1" s="109"/>
      <c r="F1" s="109"/>
      <c r="G1" s="109"/>
      <c r="H1" s="106"/>
      <c r="I1" s="144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</row>
    <row r="2" spans="1:23" ht="15.75" customHeight="1">
      <c r="A2" s="106"/>
      <c r="B2" s="106"/>
      <c r="C2" s="106"/>
      <c r="D2" s="106"/>
      <c r="E2" s="109"/>
      <c r="F2" s="109"/>
      <c r="G2" s="109"/>
      <c r="H2" s="106"/>
      <c r="I2" s="144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</row>
    <row r="3" spans="1:23" ht="15.75" customHeight="1">
      <c r="A3" s="106"/>
      <c r="B3" s="106"/>
      <c r="C3" s="106"/>
      <c r="D3" s="106"/>
      <c r="E3" s="109"/>
      <c r="F3" s="109"/>
      <c r="G3" s="109"/>
      <c r="H3" s="106"/>
      <c r="I3" s="144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</row>
    <row r="4" spans="1:23" ht="15.75" customHeight="1">
      <c r="A4" s="106"/>
      <c r="B4" s="106"/>
      <c r="C4" s="106"/>
      <c r="D4" s="106"/>
      <c r="E4" s="109"/>
      <c r="F4" s="109"/>
      <c r="G4" s="109"/>
      <c r="H4" s="106"/>
      <c r="I4" s="144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</row>
    <row r="5" spans="1:23" ht="15.75" customHeight="1">
      <c r="A5" s="106"/>
      <c r="B5" s="106"/>
      <c r="C5" s="106"/>
      <c r="D5" s="106"/>
      <c r="E5" s="109"/>
      <c r="F5" s="109"/>
      <c r="G5" s="109"/>
      <c r="H5" s="106"/>
      <c r="I5" s="144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</row>
    <row r="6" spans="1:23" s="141" customFormat="1" ht="24.95" customHeight="1">
      <c r="A6" s="140"/>
      <c r="B6" s="139" t="s">
        <v>0</v>
      </c>
      <c r="C6" s="139" t="s">
        <v>53</v>
      </c>
      <c r="D6" s="139" t="s">
        <v>44</v>
      </c>
      <c r="E6" s="139" t="s">
        <v>151</v>
      </c>
      <c r="F6" s="139" t="s">
        <v>31</v>
      </c>
      <c r="G6" s="139">
        <v>2022</v>
      </c>
      <c r="H6" s="140"/>
      <c r="I6" s="145"/>
      <c r="J6" s="151"/>
      <c r="K6" s="151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</row>
    <row r="7" spans="1:23" s="112" customFormat="1" ht="15.75" customHeight="1">
      <c r="A7" s="111"/>
      <c r="B7" s="289" t="s">
        <v>127</v>
      </c>
      <c r="C7" s="290"/>
      <c r="D7" s="290"/>
      <c r="E7" s="290"/>
      <c r="F7" s="290"/>
      <c r="G7" s="290"/>
      <c r="H7" s="111"/>
      <c r="I7" s="146"/>
      <c r="J7" s="151"/>
      <c r="K7" s="15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</row>
    <row r="8" spans="1:23" s="142" customFormat="1" ht="15.75" customHeight="1">
      <c r="A8" s="111"/>
      <c r="B8" s="291"/>
      <c r="C8" s="292"/>
      <c r="D8" s="292"/>
      <c r="E8" s="292"/>
      <c r="F8" s="292"/>
      <c r="G8" s="292"/>
      <c r="H8" s="111"/>
      <c r="I8" s="146"/>
      <c r="J8" s="151"/>
      <c r="K8" s="15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</row>
    <row r="9" spans="1:23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1"/>
      <c r="I9" s="146"/>
      <c r="J9" s="151"/>
      <c r="K9" s="15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</row>
    <row r="10" spans="1:23" ht="17.100000000000001" customHeight="1">
      <c r="A10" s="106"/>
      <c r="B10" s="136" t="s">
        <v>3</v>
      </c>
      <c r="C10" s="168">
        <v>535990.88</v>
      </c>
      <c r="D10" s="168">
        <v>636880.65</v>
      </c>
      <c r="E10" s="138">
        <v>358179.72</v>
      </c>
      <c r="F10" s="138">
        <f>467985.07+2546.27</f>
        <v>470531.34</v>
      </c>
      <c r="G10" s="138">
        <f>SUM(C10:F10)</f>
        <v>2001582.59</v>
      </c>
      <c r="H10" s="106"/>
      <c r="I10" s="147"/>
      <c r="J10" s="152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</row>
    <row r="11" spans="1:23" ht="17.100000000000001" customHeight="1">
      <c r="A11" s="106"/>
      <c r="B11" s="114" t="s">
        <v>4</v>
      </c>
      <c r="C11" s="169">
        <v>189358.6</v>
      </c>
      <c r="D11" s="169">
        <v>405387.8</v>
      </c>
      <c r="E11" s="135">
        <v>227932.55</v>
      </c>
      <c r="F11" s="135">
        <v>452327.34</v>
      </c>
      <c r="G11" s="138">
        <f t="shared" ref="G11:G20" si="0">SUM(C11:F11)</f>
        <v>1275006.29</v>
      </c>
      <c r="H11" s="106"/>
      <c r="I11" s="147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</row>
    <row r="12" spans="1:23" ht="17.100000000000001" customHeight="1">
      <c r="A12" s="106"/>
      <c r="B12" s="114" t="s">
        <v>186</v>
      </c>
      <c r="C12" s="171">
        <v>126693.92</v>
      </c>
      <c r="D12" s="170">
        <v>126693.92</v>
      </c>
      <c r="E12" s="115">
        <v>126693.92</v>
      </c>
      <c r="F12" s="115">
        <v>126693.92</v>
      </c>
      <c r="G12" s="138">
        <f t="shared" si="0"/>
        <v>506775.68</v>
      </c>
      <c r="H12" s="106"/>
      <c r="I12" s="147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</row>
    <row r="13" spans="1:23" ht="17.100000000000001" customHeight="1">
      <c r="A13" s="106"/>
      <c r="B13" s="114" t="s">
        <v>6</v>
      </c>
      <c r="C13" s="171">
        <v>16001.38</v>
      </c>
      <c r="D13" s="171">
        <v>809918.94</v>
      </c>
      <c r="E13" s="115">
        <v>98226.79</v>
      </c>
      <c r="F13" s="115">
        <v>38967.99</v>
      </c>
      <c r="G13" s="138">
        <f t="shared" si="0"/>
        <v>963115.1</v>
      </c>
      <c r="I13" s="147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</row>
    <row r="14" spans="1:23" ht="17.100000000000001" customHeight="1">
      <c r="A14" s="106"/>
      <c r="B14" s="114" t="s">
        <v>167</v>
      </c>
      <c r="C14" s="171">
        <v>55805.13</v>
      </c>
      <c r="D14" s="171">
        <v>55252.6</v>
      </c>
      <c r="E14" s="115">
        <v>54884.88</v>
      </c>
      <c r="F14" s="115">
        <v>54487.12</v>
      </c>
      <c r="G14" s="138">
        <f t="shared" si="0"/>
        <v>220429.72999999998</v>
      </c>
      <c r="H14" s="106"/>
      <c r="I14" s="147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</row>
    <row r="15" spans="1:23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15">
        <v>23811.51</v>
      </c>
      <c r="G15" s="138">
        <f t="shared" si="0"/>
        <v>23811.51</v>
      </c>
      <c r="H15" s="106"/>
      <c r="I15" s="147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</row>
    <row r="16" spans="1:23" ht="17.100000000000001" customHeight="1">
      <c r="A16" s="106"/>
      <c r="B16" s="114" t="s">
        <v>168</v>
      </c>
      <c r="C16" s="171">
        <v>12368.92</v>
      </c>
      <c r="D16" s="171">
        <v>11980.7</v>
      </c>
      <c r="E16" s="115">
        <v>11840.9</v>
      </c>
      <c r="F16" s="115">
        <v>11697.01</v>
      </c>
      <c r="G16" s="138">
        <f t="shared" si="0"/>
        <v>47887.530000000006</v>
      </c>
      <c r="H16" s="106"/>
      <c r="I16" s="147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</row>
    <row r="17" spans="1:23" ht="17.100000000000001" customHeight="1">
      <c r="A17" s="106"/>
      <c r="B17" s="114" t="s">
        <v>169</v>
      </c>
      <c r="C17" s="171">
        <v>5156.6499999999996</v>
      </c>
      <c r="D17" s="171">
        <v>4994.8</v>
      </c>
      <c r="E17" s="115">
        <v>4936.5200000000004</v>
      </c>
      <c r="F17" s="115">
        <v>4876.53</v>
      </c>
      <c r="G17" s="138">
        <f t="shared" si="0"/>
        <v>19964.5</v>
      </c>
      <c r="H17" s="106"/>
      <c r="I17" s="147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</row>
    <row r="18" spans="1:23" ht="17.100000000000001" customHeight="1">
      <c r="A18" s="106"/>
      <c r="B18" s="114" t="s">
        <v>170</v>
      </c>
      <c r="C18" s="171">
        <v>17665.8</v>
      </c>
      <c r="D18" s="171">
        <v>17111.64</v>
      </c>
      <c r="E18" s="115">
        <v>17026.22</v>
      </c>
      <c r="F18" s="115">
        <v>16706.07</v>
      </c>
      <c r="G18" s="138">
        <f t="shared" si="0"/>
        <v>68509.73000000001</v>
      </c>
      <c r="H18" s="106"/>
      <c r="I18" s="147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</row>
    <row r="19" spans="1:23" ht="17.100000000000001" customHeight="1">
      <c r="A19" s="106"/>
      <c r="B19" s="114" t="s">
        <v>7</v>
      </c>
      <c r="C19" s="171">
        <v>82684.009999999995</v>
      </c>
      <c r="D19" s="171">
        <v>11242.71</v>
      </c>
      <c r="E19" s="115">
        <v>0</v>
      </c>
      <c r="F19" s="115">
        <v>0</v>
      </c>
      <c r="G19" s="138">
        <f t="shared" si="0"/>
        <v>93926.720000000001</v>
      </c>
      <c r="H19" s="106"/>
      <c r="I19" s="147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</row>
    <row r="20" spans="1:23" ht="17.100000000000001" customHeight="1">
      <c r="A20" s="106"/>
      <c r="B20" s="114" t="s">
        <v>149</v>
      </c>
      <c r="C20" s="171">
        <v>0</v>
      </c>
      <c r="D20" s="171">
        <v>15557.47</v>
      </c>
      <c r="E20" s="115">
        <v>1168.1199999999999</v>
      </c>
      <c r="F20" s="115">
        <v>3231.48</v>
      </c>
      <c r="G20" s="138">
        <f t="shared" si="0"/>
        <v>19957.07</v>
      </c>
      <c r="H20" s="106"/>
      <c r="I20" s="147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</row>
    <row r="21" spans="1:23" s="112" customFormat="1" ht="15.75" customHeight="1">
      <c r="A21" s="111"/>
      <c r="B21" s="116" t="s">
        <v>9</v>
      </c>
      <c r="C21" s="117">
        <f>SUM(C10:C20)</f>
        <v>1041725.2900000002</v>
      </c>
      <c r="D21" s="117">
        <f>SUM(D10:D20)</f>
        <v>2095021.2299999997</v>
      </c>
      <c r="E21" s="117">
        <f>SUM(E10:E20)</f>
        <v>900889.62000000011</v>
      </c>
      <c r="F21" s="117">
        <f>SUM(F10:F20)</f>
        <v>1203330.3100000003</v>
      </c>
      <c r="G21" s="117">
        <f>SUM(G10:G20)</f>
        <v>5240966.4500000011</v>
      </c>
      <c r="H21" s="111"/>
      <c r="I21" s="146"/>
      <c r="J21" s="151"/>
      <c r="K21" s="15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</row>
    <row r="22" spans="1:23" ht="15.75" customHeight="1">
      <c r="A22" s="106"/>
      <c r="B22" s="106"/>
      <c r="C22" s="106"/>
      <c r="D22" s="106"/>
      <c r="E22" s="109"/>
      <c r="F22" s="109"/>
      <c r="G22" s="109"/>
      <c r="H22" s="106"/>
      <c r="I22" s="147" t="s">
        <v>118</v>
      </c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</row>
    <row r="23" spans="1:23" s="112" customFormat="1" ht="15.75" customHeight="1">
      <c r="A23" s="111"/>
      <c r="B23" s="289" t="s">
        <v>128</v>
      </c>
      <c r="C23" s="290"/>
      <c r="D23" s="290"/>
      <c r="E23" s="290"/>
      <c r="F23" s="290"/>
      <c r="G23" s="290"/>
      <c r="H23" s="111"/>
      <c r="I23" s="146"/>
      <c r="J23" s="151"/>
      <c r="K23" s="15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</row>
    <row r="24" spans="1:23" ht="15.75" customHeight="1">
      <c r="A24" s="106"/>
      <c r="B24" s="291"/>
      <c r="C24" s="292"/>
      <c r="D24" s="292"/>
      <c r="E24" s="292"/>
      <c r="F24" s="292"/>
      <c r="G24" s="292"/>
      <c r="H24" s="106"/>
      <c r="I24" s="147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</row>
    <row r="25" spans="1:23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06"/>
      <c r="I25" s="147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</row>
    <row r="26" spans="1:23" ht="17.100000000000001" customHeight="1">
      <c r="A26" s="106"/>
      <c r="B26" s="114" t="s">
        <v>172</v>
      </c>
      <c r="C26" s="179">
        <v>548127.35</v>
      </c>
      <c r="D26" s="179">
        <v>542075.24</v>
      </c>
      <c r="E26" s="189">
        <v>495470.49</v>
      </c>
      <c r="F26" s="115">
        <v>487626.13</v>
      </c>
      <c r="G26" s="115">
        <f>SUM(C26:F26)</f>
        <v>2073299.21</v>
      </c>
      <c r="H26" s="106"/>
      <c r="I26" s="147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</row>
    <row r="27" spans="1:23" ht="17.100000000000001" customHeight="1">
      <c r="A27" s="106"/>
      <c r="B27" s="114" t="s">
        <v>150</v>
      </c>
      <c r="C27" s="179">
        <v>64945.72</v>
      </c>
      <c r="D27" s="179">
        <v>64945.72</v>
      </c>
      <c r="E27" s="189">
        <v>63584.02</v>
      </c>
      <c r="F27" s="115">
        <v>65481.06</v>
      </c>
      <c r="G27" s="115">
        <f t="shared" ref="G27:G30" si="1">SUM(C27:F27)</f>
        <v>258956.52</v>
      </c>
      <c r="H27" s="106"/>
      <c r="I27" s="147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</row>
    <row r="28" spans="1:23" ht="17.100000000000001" customHeight="1">
      <c r="A28" s="106"/>
      <c r="B28" s="114" t="s">
        <v>171</v>
      </c>
      <c r="C28" s="191">
        <v>27034.39</v>
      </c>
      <c r="D28" s="191">
        <v>24052.01</v>
      </c>
      <c r="E28" s="190">
        <v>21886.080000000002</v>
      </c>
      <c r="F28" s="119">
        <v>17676.18</v>
      </c>
      <c r="G28" s="115">
        <f t="shared" si="1"/>
        <v>90648.66</v>
      </c>
      <c r="H28" s="106"/>
      <c r="I28" s="147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</row>
    <row r="29" spans="1:23" ht="17.100000000000001" customHeight="1">
      <c r="A29" s="106"/>
      <c r="B29" s="114" t="s">
        <v>13</v>
      </c>
      <c r="C29" s="179">
        <v>0</v>
      </c>
      <c r="D29" s="179">
        <v>0</v>
      </c>
      <c r="E29" s="189">
        <v>0</v>
      </c>
      <c r="F29" s="115">
        <v>0</v>
      </c>
      <c r="G29" s="115">
        <f t="shared" si="1"/>
        <v>0</v>
      </c>
      <c r="H29" s="106"/>
      <c r="I29" s="147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</row>
    <row r="30" spans="1:23" ht="17.100000000000001" customHeight="1">
      <c r="A30" s="106"/>
      <c r="B30" s="114" t="s">
        <v>130</v>
      </c>
      <c r="C30" s="191">
        <v>55560.09</v>
      </c>
      <c r="D30" s="191">
        <v>22252.83</v>
      </c>
      <c r="E30" s="190">
        <v>14595.13</v>
      </c>
      <c r="F30" s="119">
        <v>7086.12</v>
      </c>
      <c r="G30" s="115">
        <f t="shared" si="1"/>
        <v>99494.17</v>
      </c>
      <c r="H30" s="106"/>
      <c r="I30" s="147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</row>
    <row r="31" spans="1:23" s="112" customFormat="1" ht="17.100000000000001" customHeight="1">
      <c r="A31" s="111"/>
      <c r="B31" s="120" t="s">
        <v>84</v>
      </c>
      <c r="C31" s="121">
        <f>SUM(C26:C30)</f>
        <v>695667.54999999993</v>
      </c>
      <c r="D31" s="121">
        <f>SUM(D26:D30)</f>
        <v>653325.79999999993</v>
      </c>
      <c r="E31" s="121">
        <f>SUM(E26:E30)</f>
        <v>595535.72</v>
      </c>
      <c r="F31" s="121">
        <f>SUM(F26:F30)</f>
        <v>577869.49</v>
      </c>
      <c r="G31" s="121">
        <f>SUM(G26:G30)</f>
        <v>2522398.56</v>
      </c>
      <c r="H31" s="111"/>
      <c r="I31" s="146"/>
      <c r="J31" s="151"/>
      <c r="K31" s="15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</row>
    <row r="32" spans="1:23" s="112" customFormat="1" ht="17.100000000000001" customHeight="1">
      <c r="A32" s="111"/>
      <c r="B32" s="163" t="s">
        <v>14</v>
      </c>
      <c r="C32" s="164">
        <f>C21-C31</f>
        <v>346057.74000000022</v>
      </c>
      <c r="D32" s="164">
        <f>D21-D31</f>
        <v>1441695.4299999997</v>
      </c>
      <c r="E32" s="164">
        <f>E21-E31</f>
        <v>305353.90000000014</v>
      </c>
      <c r="F32" s="164">
        <f>F21-F31</f>
        <v>625460.8200000003</v>
      </c>
      <c r="G32" s="159">
        <f>G21-G31</f>
        <v>2718567.8900000011</v>
      </c>
      <c r="H32" s="111"/>
      <c r="I32" s="146"/>
      <c r="J32" s="151"/>
      <c r="K32" s="15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</row>
    <row r="33" spans="1:23" ht="15.75" customHeight="1">
      <c r="A33" s="106"/>
      <c r="B33" s="106"/>
      <c r="C33" s="106"/>
      <c r="D33" s="106"/>
      <c r="E33" s="109"/>
      <c r="F33" s="109"/>
      <c r="G33" s="109"/>
      <c r="H33" s="106"/>
      <c r="I33" s="147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</row>
    <row r="34" spans="1:23" s="112" customFormat="1" ht="15.75" customHeight="1">
      <c r="A34" s="111"/>
      <c r="B34" s="307" t="s">
        <v>15</v>
      </c>
      <c r="C34" s="308"/>
      <c r="D34" s="308"/>
      <c r="E34" s="308"/>
      <c r="F34" s="308"/>
      <c r="G34" s="309"/>
      <c r="H34" s="111"/>
      <c r="I34" s="146"/>
      <c r="J34" s="151"/>
      <c r="K34" s="15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</row>
    <row r="35" spans="1:23" s="112" customFormat="1" ht="15.75" customHeight="1">
      <c r="A35" s="111"/>
      <c r="B35" s="289" t="s">
        <v>16</v>
      </c>
      <c r="C35" s="290"/>
      <c r="D35" s="290"/>
      <c r="E35" s="290"/>
      <c r="F35" s="290"/>
      <c r="G35" s="310"/>
      <c r="H35" s="111"/>
      <c r="I35" s="146"/>
      <c r="J35" s="151"/>
      <c r="K35" s="15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</row>
    <row r="36" spans="1:23" ht="15.75" customHeight="1">
      <c r="A36" s="106"/>
      <c r="B36" s="291"/>
      <c r="C36" s="292"/>
      <c r="D36" s="292"/>
      <c r="E36" s="292"/>
      <c r="F36" s="292"/>
      <c r="G36" s="311"/>
      <c r="H36" s="106"/>
      <c r="I36" s="147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</row>
    <row r="37" spans="1:23" ht="15.75" customHeight="1">
      <c r="A37" s="106"/>
      <c r="B37" s="153" t="s">
        <v>17</v>
      </c>
      <c r="C37" s="165"/>
      <c r="D37" s="165"/>
      <c r="E37" s="154"/>
      <c r="F37" s="154"/>
      <c r="G37" s="130" t="s">
        <v>2</v>
      </c>
      <c r="H37" s="147"/>
      <c r="I37" s="151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</row>
    <row r="38" spans="1:23" ht="15.75" customHeight="1">
      <c r="A38" s="106"/>
      <c r="B38" s="136" t="s">
        <v>18</v>
      </c>
      <c r="C38" s="166"/>
      <c r="D38" s="166"/>
      <c r="E38" s="155"/>
      <c r="F38" s="155"/>
      <c r="G38" s="161">
        <v>0</v>
      </c>
      <c r="H38" s="147"/>
      <c r="I38" s="151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</row>
    <row r="39" spans="1:23" ht="15.75" customHeight="1">
      <c r="A39" s="106"/>
      <c r="B39" s="136" t="s">
        <v>19</v>
      </c>
      <c r="C39" s="166"/>
      <c r="D39" s="166"/>
      <c r="E39" s="155"/>
      <c r="F39" s="155"/>
      <c r="G39" s="161">
        <v>941.38</v>
      </c>
      <c r="H39" s="147"/>
      <c r="I39" s="151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</row>
    <row r="40" spans="1:23" ht="15.75" customHeight="1">
      <c r="A40" s="106"/>
      <c r="B40" s="136" t="s">
        <v>132</v>
      </c>
      <c r="C40" s="166"/>
      <c r="D40" s="166"/>
      <c r="E40" s="155"/>
      <c r="F40" s="155"/>
      <c r="G40" s="161">
        <v>0</v>
      </c>
      <c r="H40" s="147"/>
      <c r="I40" s="151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</row>
    <row r="41" spans="1:23" ht="15.75" customHeight="1">
      <c r="A41" s="106"/>
      <c r="B41" s="136" t="s">
        <v>20</v>
      </c>
      <c r="C41" s="166"/>
      <c r="D41" s="166"/>
      <c r="E41" s="155"/>
      <c r="F41" s="155"/>
      <c r="G41" s="161">
        <v>212379.09</v>
      </c>
      <c r="H41" s="147"/>
      <c r="I41" s="151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</row>
    <row r="42" spans="1:23" ht="15.75" customHeight="1">
      <c r="A42" s="106"/>
      <c r="B42" s="136" t="s">
        <v>21</v>
      </c>
      <c r="C42" s="166"/>
      <c r="D42" s="166"/>
      <c r="E42" s="155"/>
      <c r="F42" s="155"/>
      <c r="G42" s="161">
        <v>12759.1</v>
      </c>
      <c r="H42" s="147"/>
      <c r="I42" s="151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</row>
    <row r="43" spans="1:23" ht="15.75" customHeight="1">
      <c r="A43" s="106"/>
      <c r="B43" s="136" t="s">
        <v>22</v>
      </c>
      <c r="C43" s="166"/>
      <c r="D43" s="166"/>
      <c r="E43" s="155"/>
      <c r="F43" s="155"/>
      <c r="G43" s="161">
        <v>441.32</v>
      </c>
      <c r="H43" s="147"/>
      <c r="I43" s="151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</row>
    <row r="44" spans="1:23" ht="15.75" customHeight="1">
      <c r="A44" s="106"/>
      <c r="B44" s="153" t="s">
        <v>23</v>
      </c>
      <c r="C44" s="165"/>
      <c r="D44" s="165"/>
      <c r="E44" s="154"/>
      <c r="F44" s="154"/>
      <c r="G44" s="160">
        <f>SUM(G38:G43)</f>
        <v>226520.89</v>
      </c>
      <c r="H44" s="147"/>
      <c r="I44" s="151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</row>
    <row r="45" spans="1:23" ht="15.75" customHeight="1">
      <c r="A45" s="106"/>
      <c r="B45" s="157"/>
      <c r="C45" s="106"/>
      <c r="D45" s="106"/>
      <c r="E45" s="150"/>
      <c r="F45" s="150"/>
      <c r="G45" s="150"/>
      <c r="H45" s="147"/>
      <c r="I45" s="151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</row>
    <row r="46" spans="1:23" ht="15.75" customHeight="1">
      <c r="A46" s="106"/>
      <c r="B46" s="153" t="s">
        <v>24</v>
      </c>
      <c r="C46" s="165"/>
      <c r="D46" s="165"/>
      <c r="E46" s="154"/>
      <c r="F46" s="154"/>
      <c r="G46" s="130" t="s">
        <v>2</v>
      </c>
      <c r="H46" s="147"/>
      <c r="I46" s="151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</row>
    <row r="47" spans="1:23" ht="15.75" customHeight="1">
      <c r="A47" s="106"/>
      <c r="B47" s="136" t="s">
        <v>25</v>
      </c>
      <c r="C47" s="166"/>
      <c r="D47" s="166"/>
      <c r="E47" s="155"/>
      <c r="F47" s="155"/>
      <c r="G47" s="161">
        <v>38178607.270000003</v>
      </c>
      <c r="H47" s="148"/>
      <c r="I47" s="151"/>
      <c r="K47" s="108"/>
    </row>
    <row r="48" spans="1:23" ht="15.75" customHeight="1">
      <c r="B48" s="136" t="s">
        <v>26</v>
      </c>
      <c r="C48" s="166"/>
      <c r="D48" s="166"/>
      <c r="E48" s="155"/>
      <c r="F48" s="155"/>
      <c r="G48" s="161">
        <v>12294391.48</v>
      </c>
      <c r="H48" s="148"/>
      <c r="I48" s="151"/>
      <c r="K48" s="108"/>
    </row>
    <row r="49" spans="2:11" ht="15.75" customHeight="1">
      <c r="B49" s="136" t="s">
        <v>27</v>
      </c>
      <c r="C49" s="166"/>
      <c r="D49" s="166"/>
      <c r="E49" s="155"/>
      <c r="F49" s="155"/>
      <c r="G49" s="161">
        <v>0</v>
      </c>
      <c r="H49" s="148"/>
      <c r="I49" s="151"/>
      <c r="K49" s="108"/>
    </row>
    <row r="50" spans="2:11" ht="15.75" customHeight="1">
      <c r="B50" s="136" t="s">
        <v>131</v>
      </c>
      <c r="C50" s="166"/>
      <c r="D50" s="166"/>
      <c r="E50" s="155"/>
      <c r="F50" s="155"/>
      <c r="G50" s="161">
        <v>239265.22</v>
      </c>
      <c r="H50" s="148"/>
      <c r="I50" s="151"/>
      <c r="K50" s="108"/>
    </row>
    <row r="51" spans="2:11" ht="15.75" customHeight="1">
      <c r="B51" s="153" t="s">
        <v>28</v>
      </c>
      <c r="C51" s="165"/>
      <c r="D51" s="165"/>
      <c r="E51" s="154"/>
      <c r="F51" s="154"/>
      <c r="G51" s="160">
        <f>SUM(G47:G50)-G44</f>
        <v>50485743.079999998</v>
      </c>
      <c r="H51" s="148"/>
      <c r="I51" s="151"/>
      <c r="K51" s="108"/>
    </row>
    <row r="52" spans="2:11" ht="15.75" customHeight="1">
      <c r="B52" s="158"/>
      <c r="C52" s="131"/>
      <c r="D52" s="131"/>
      <c r="E52" s="132"/>
      <c r="F52" s="132"/>
      <c r="G52" s="155"/>
      <c r="H52" s="148"/>
      <c r="I52" s="151"/>
      <c r="K52" s="108"/>
    </row>
    <row r="53" spans="2:11" ht="15.75" customHeight="1">
      <c r="B53" s="133" t="s">
        <v>29</v>
      </c>
      <c r="C53" s="167"/>
      <c r="D53" s="167"/>
      <c r="E53" s="156"/>
      <c r="F53" s="156"/>
      <c r="G53" s="162">
        <f>G51+G44</f>
        <v>50712263.969999999</v>
      </c>
      <c r="H53" s="148"/>
      <c r="I53" s="151"/>
      <c r="K53" s="108"/>
    </row>
    <row r="54" spans="2:11" ht="15.75" customHeight="1">
      <c r="B54" s="106"/>
      <c r="C54" s="106"/>
      <c r="D54" s="106"/>
      <c r="E54" s="109"/>
      <c r="F54" s="109"/>
      <c r="G54" s="109"/>
    </row>
    <row r="55" spans="2:11" ht="15.75" customHeight="1">
      <c r="B55" s="106"/>
      <c r="C55" s="106"/>
      <c r="D55" s="106"/>
      <c r="E55" s="109"/>
      <c r="F55" s="109"/>
      <c r="G55" s="109"/>
    </row>
    <row r="56" spans="2:11" ht="15.75" customHeight="1">
      <c r="B56" s="106"/>
      <c r="C56" s="106"/>
      <c r="D56" s="106"/>
      <c r="E56" s="109"/>
      <c r="F56" s="109"/>
      <c r="G56" s="109"/>
    </row>
    <row r="57" spans="2:11" ht="15.75" customHeight="1">
      <c r="B57" s="106"/>
      <c r="C57" s="106"/>
      <c r="D57" s="106"/>
      <c r="E57" s="109"/>
      <c r="F57" s="109"/>
      <c r="G57" s="109"/>
    </row>
    <row r="58" spans="2:11" ht="15.75" customHeight="1">
      <c r="B58" s="106"/>
      <c r="C58" s="106"/>
      <c r="D58" s="106"/>
      <c r="E58" s="109"/>
      <c r="F58" s="109"/>
      <c r="G58" s="109"/>
    </row>
    <row r="59" spans="2:11" ht="15.75" customHeight="1">
      <c r="B59" s="106"/>
      <c r="C59" s="106"/>
      <c r="D59" s="106"/>
      <c r="E59" s="106"/>
      <c r="F59" s="106"/>
    </row>
    <row r="60" spans="2:11" ht="15.75" customHeight="1">
      <c r="B60" s="106"/>
      <c r="C60" s="106"/>
      <c r="D60" s="106"/>
      <c r="E60" s="106"/>
      <c r="F60" s="106"/>
    </row>
    <row r="61" spans="2:11" ht="15.75" customHeight="1">
      <c r="B61" s="106"/>
      <c r="C61" s="106"/>
      <c r="D61" s="106"/>
      <c r="E61" s="106"/>
      <c r="F61" s="106"/>
    </row>
  </sheetData>
  <mergeCells count="4">
    <mergeCell ref="B7:G8"/>
    <mergeCell ref="B23:G24"/>
    <mergeCell ref="B34:G34"/>
    <mergeCell ref="B35:G36"/>
  </mergeCells>
  <pageMargins left="0.78740157480314954" right="0.78740157480314954" top="1.1811023622047245" bottom="1.1811023622047245" header="0.78740157480314954" footer="0.78740157480314954"/>
  <pageSetup paperSize="9" scale="24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1"/>
  <sheetViews>
    <sheetView showGridLines="0" workbookViewId="0">
      <selection activeCell="C26" sqref="C26:G30"/>
    </sheetView>
  </sheetViews>
  <sheetFormatPr defaultRowHeight="15.75" customHeight="1"/>
  <cols>
    <col min="1" max="1" width="15.5703125" style="108" customWidth="1"/>
    <col min="2" max="2" width="59.7109375" style="108" customWidth="1"/>
    <col min="3" max="4" width="18.7109375" style="108" bestFit="1" customWidth="1"/>
    <col min="5" max="5" width="21.42578125" style="108" customWidth="1"/>
    <col min="6" max="8" width="20" style="108" bestFit="1" customWidth="1"/>
    <col min="9" max="9" width="6.85546875" style="108" customWidth="1"/>
    <col min="10" max="10" width="18.42578125" style="148" bestFit="1" customWidth="1"/>
    <col min="11" max="11" width="14.7109375" style="151" bestFit="1" customWidth="1"/>
    <col min="12" max="12" width="13.5703125" style="151" bestFit="1" customWidth="1"/>
    <col min="13" max="24" width="9.5703125" style="108" customWidth="1"/>
    <col min="25" max="1028" width="9.42578125" style="108" customWidth="1"/>
    <col min="1029" max="16384" width="9.140625" style="108"/>
  </cols>
  <sheetData>
    <row r="1" spans="1:24" ht="15.75" customHeight="1">
      <c r="A1" s="106" t="s">
        <v>118</v>
      </c>
      <c r="B1" s="106"/>
      <c r="C1" s="106"/>
      <c r="D1" s="106"/>
      <c r="E1" s="106"/>
      <c r="F1" s="109"/>
      <c r="G1" s="109"/>
      <c r="H1" s="109"/>
      <c r="I1" s="106"/>
      <c r="J1" s="144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spans="1:24" ht="15.75" customHeight="1">
      <c r="A2" s="106"/>
      <c r="B2" s="106"/>
      <c r="C2" s="106"/>
      <c r="D2" s="106"/>
      <c r="E2" s="106"/>
      <c r="F2" s="109"/>
      <c r="G2" s="109"/>
      <c r="H2" s="109"/>
      <c r="I2" s="106"/>
      <c r="J2" s="144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24" ht="15.75" customHeight="1">
      <c r="A3" s="106"/>
      <c r="B3" s="312" t="s">
        <v>173</v>
      </c>
      <c r="C3" s="312"/>
      <c r="D3" s="312"/>
      <c r="E3" s="312"/>
      <c r="F3" s="312"/>
      <c r="G3" s="312"/>
      <c r="H3" s="312"/>
      <c r="I3" s="106"/>
      <c r="J3" s="144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</row>
    <row r="4" spans="1:24" ht="15.75" customHeight="1">
      <c r="A4" s="106"/>
      <c r="B4" s="106"/>
      <c r="C4" s="106"/>
      <c r="D4" s="106"/>
      <c r="E4" s="106"/>
      <c r="F4" s="109"/>
      <c r="G4" s="109"/>
      <c r="H4" s="109"/>
      <c r="I4" s="106"/>
      <c r="J4" s="144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</row>
    <row r="5" spans="1:24" ht="15.75" customHeight="1">
      <c r="A5" s="106"/>
      <c r="B5" s="106"/>
      <c r="C5" s="106"/>
      <c r="D5" s="106"/>
      <c r="E5" s="106"/>
      <c r="F5" s="109"/>
      <c r="G5" s="109"/>
      <c r="H5" s="109"/>
      <c r="I5" s="106"/>
      <c r="J5" s="144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</row>
    <row r="6" spans="1:24" s="141" customFormat="1" ht="24.95" customHeight="1">
      <c r="A6" s="140"/>
      <c r="B6" s="139" t="s">
        <v>0</v>
      </c>
      <c r="C6" s="139" t="s">
        <v>61</v>
      </c>
      <c r="D6" s="139" t="s">
        <v>53</v>
      </c>
      <c r="E6" s="139" t="s">
        <v>44</v>
      </c>
      <c r="F6" s="139" t="s">
        <v>151</v>
      </c>
      <c r="G6" s="139" t="s">
        <v>31</v>
      </c>
      <c r="H6" s="139">
        <v>2022</v>
      </c>
      <c r="I6" s="140"/>
      <c r="J6" s="145"/>
      <c r="K6" s="151"/>
      <c r="L6" s="151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</row>
    <row r="7" spans="1:24" s="112" customFormat="1" ht="15.75" customHeight="1">
      <c r="A7" s="111"/>
      <c r="B7" s="289" t="s">
        <v>127</v>
      </c>
      <c r="C7" s="290"/>
      <c r="D7" s="290"/>
      <c r="E7" s="290"/>
      <c r="F7" s="290"/>
      <c r="G7" s="290"/>
      <c r="H7" s="290"/>
      <c r="I7" s="111"/>
      <c r="J7" s="146"/>
      <c r="K7" s="151"/>
      <c r="L7" s="15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</row>
    <row r="8" spans="1:24" s="142" customFormat="1" ht="15.75" customHeight="1">
      <c r="A8" s="111"/>
      <c r="B8" s="291"/>
      <c r="C8" s="292"/>
      <c r="D8" s="292"/>
      <c r="E8" s="292"/>
      <c r="F8" s="292"/>
      <c r="G8" s="292"/>
      <c r="H8" s="292"/>
      <c r="I8" s="111"/>
      <c r="J8" s="146"/>
      <c r="K8" s="151"/>
      <c r="L8" s="15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</row>
    <row r="9" spans="1:24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1"/>
      <c r="J9" s="146"/>
      <c r="K9" s="151"/>
      <c r="L9" s="15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0" spans="1:24" ht="17.100000000000001" customHeight="1">
      <c r="A10" s="106"/>
      <c r="B10" s="136" t="s">
        <v>3</v>
      </c>
      <c r="C10" s="168">
        <v>524966.87</v>
      </c>
      <c r="D10" s="168">
        <v>535990.88</v>
      </c>
      <c r="E10" s="168">
        <v>636880.65</v>
      </c>
      <c r="F10" s="138">
        <v>358179.72</v>
      </c>
      <c r="G10" s="138">
        <f>467985.07+2546.27</f>
        <v>470531.34</v>
      </c>
      <c r="H10" s="138">
        <f>SUM(C10:G10)</f>
        <v>2526549.46</v>
      </c>
      <c r="I10" s="106"/>
      <c r="J10" s="147"/>
      <c r="K10" s="152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</row>
    <row r="11" spans="1:24" ht="17.100000000000001" customHeight="1">
      <c r="A11" s="106"/>
      <c r="B11" s="114" t="s">
        <v>4</v>
      </c>
      <c r="C11" s="169">
        <v>487801.26</v>
      </c>
      <c r="D11" s="169">
        <v>189358.6</v>
      </c>
      <c r="E11" s="169">
        <v>405387.8</v>
      </c>
      <c r="F11" s="135">
        <v>227932.55</v>
      </c>
      <c r="G11" s="135">
        <v>452327.34</v>
      </c>
      <c r="H11" s="138">
        <f t="shared" ref="H11:H20" si="0">SUM(C11:G11)</f>
        <v>1762807.55</v>
      </c>
      <c r="I11" s="106"/>
      <c r="J11" s="147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</row>
    <row r="12" spans="1:24" ht="17.100000000000001" customHeight="1">
      <c r="A12" s="106"/>
      <c r="B12" s="114" t="s">
        <v>166</v>
      </c>
      <c r="C12" s="171">
        <v>126693.92</v>
      </c>
      <c r="D12" s="171">
        <v>126693.92</v>
      </c>
      <c r="E12" s="170">
        <v>126693.92</v>
      </c>
      <c r="F12" s="115">
        <v>126693.92</v>
      </c>
      <c r="G12" s="115">
        <v>126693.92</v>
      </c>
      <c r="H12" s="138">
        <f t="shared" si="0"/>
        <v>633469.6</v>
      </c>
      <c r="I12" s="106"/>
      <c r="J12" s="147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</row>
    <row r="13" spans="1:24" ht="17.100000000000001" customHeight="1">
      <c r="A13" s="106"/>
      <c r="B13" s="114" t="s">
        <v>6</v>
      </c>
      <c r="C13" s="171">
        <v>505838.52</v>
      </c>
      <c r="D13" s="171">
        <v>16001.38</v>
      </c>
      <c r="E13" s="171">
        <v>809918.94</v>
      </c>
      <c r="F13" s="115">
        <v>98226.79</v>
      </c>
      <c r="G13" s="115">
        <v>38967.99</v>
      </c>
      <c r="H13" s="138">
        <f t="shared" si="0"/>
        <v>1468953.6199999999</v>
      </c>
      <c r="J13" s="147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</row>
    <row r="14" spans="1:24" ht="17.100000000000001" customHeight="1">
      <c r="A14" s="106"/>
      <c r="B14" s="114" t="s">
        <v>174</v>
      </c>
      <c r="C14" s="171">
        <v>56759.4</v>
      </c>
      <c r="D14" s="171">
        <v>55805.13</v>
      </c>
      <c r="E14" s="171">
        <v>55252.6</v>
      </c>
      <c r="F14" s="115">
        <v>54884.88</v>
      </c>
      <c r="G14" s="115">
        <v>54487.12</v>
      </c>
      <c r="H14" s="138">
        <f t="shared" si="0"/>
        <v>277189.13</v>
      </c>
      <c r="I14" s="106"/>
      <c r="J14" s="147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</row>
    <row r="15" spans="1:24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15">
        <v>23811.51</v>
      </c>
      <c r="H15" s="138">
        <f t="shared" si="0"/>
        <v>23811.51</v>
      </c>
      <c r="I15" s="106"/>
      <c r="J15" s="147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</row>
    <row r="16" spans="1:24" ht="17.100000000000001" customHeight="1">
      <c r="A16" s="106"/>
      <c r="B16" s="114" t="s">
        <v>175</v>
      </c>
      <c r="C16" s="171">
        <v>12430.62</v>
      </c>
      <c r="D16" s="171">
        <v>12368.92</v>
      </c>
      <c r="E16" s="171">
        <v>11980.7</v>
      </c>
      <c r="F16" s="115">
        <v>11840.9</v>
      </c>
      <c r="G16" s="115">
        <v>11697.01</v>
      </c>
      <c r="H16" s="138">
        <f t="shared" si="0"/>
        <v>60318.150000000009</v>
      </c>
      <c r="I16" s="106"/>
      <c r="J16" s="147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</row>
    <row r="17" spans="1:24" ht="17.100000000000001" customHeight="1">
      <c r="A17" s="106"/>
      <c r="B17" s="114" t="s">
        <v>176</v>
      </c>
      <c r="C17" s="171">
        <v>5182.37</v>
      </c>
      <c r="D17" s="171">
        <v>5156.6499999999996</v>
      </c>
      <c r="E17" s="171">
        <v>4994.8</v>
      </c>
      <c r="F17" s="115">
        <v>4936.5200000000004</v>
      </c>
      <c r="G17" s="115">
        <v>4876.53</v>
      </c>
      <c r="H17" s="138">
        <f t="shared" si="0"/>
        <v>25146.87</v>
      </c>
      <c r="I17" s="106"/>
      <c r="J17" s="147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</row>
    <row r="18" spans="1:24" ht="17.100000000000001" customHeight="1">
      <c r="A18" s="106"/>
      <c r="B18" s="114" t="s">
        <v>177</v>
      </c>
      <c r="C18" s="171">
        <v>17753.55</v>
      </c>
      <c r="D18" s="171">
        <v>17665.8</v>
      </c>
      <c r="E18" s="171">
        <v>17111.64</v>
      </c>
      <c r="F18" s="115">
        <v>17026.22</v>
      </c>
      <c r="G18" s="115">
        <v>16706.07</v>
      </c>
      <c r="H18" s="138">
        <f t="shared" si="0"/>
        <v>86263.28</v>
      </c>
      <c r="I18" s="106"/>
      <c r="J18" s="147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</row>
    <row r="19" spans="1:24" ht="17.100000000000001" customHeight="1">
      <c r="A19" s="106"/>
      <c r="B19" s="114" t="s">
        <v>178</v>
      </c>
      <c r="C19" s="171">
        <v>11242.71</v>
      </c>
      <c r="D19" s="171">
        <v>82684.009999999995</v>
      </c>
      <c r="E19" s="171">
        <v>11242.71</v>
      </c>
      <c r="F19" s="115">
        <v>0</v>
      </c>
      <c r="G19" s="115">
        <v>0</v>
      </c>
      <c r="H19" s="138">
        <f t="shared" si="0"/>
        <v>105169.43</v>
      </c>
      <c r="I19" s="106"/>
      <c r="J19" s="147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</row>
    <row r="20" spans="1:24" ht="17.100000000000001" customHeight="1">
      <c r="A20" s="106"/>
      <c r="B20" s="114" t="s">
        <v>149</v>
      </c>
      <c r="C20" s="171">
        <f>(1168.12*2)+(1943.36*2)</f>
        <v>6222.9599999999991</v>
      </c>
      <c r="D20" s="171">
        <v>0</v>
      </c>
      <c r="E20" s="171">
        <v>15557.47</v>
      </c>
      <c r="F20" s="115">
        <v>1168.1199999999999</v>
      </c>
      <c r="G20" s="115">
        <v>3231.48</v>
      </c>
      <c r="H20" s="138">
        <f t="shared" si="0"/>
        <v>26180.03</v>
      </c>
      <c r="I20" s="106"/>
      <c r="J20" s="147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</row>
    <row r="21" spans="1:24" s="112" customFormat="1" ht="15.75" customHeight="1">
      <c r="A21" s="111"/>
      <c r="B21" s="116" t="s">
        <v>9</v>
      </c>
      <c r="C21" s="117">
        <f t="shared" ref="C21:H21" si="1">SUM(C10:C20)</f>
        <v>1754892.1800000002</v>
      </c>
      <c r="D21" s="117">
        <f t="shared" si="1"/>
        <v>1041725.2900000002</v>
      </c>
      <c r="E21" s="117">
        <f t="shared" si="1"/>
        <v>2095021.2299999997</v>
      </c>
      <c r="F21" s="117">
        <f t="shared" si="1"/>
        <v>900889.62000000011</v>
      </c>
      <c r="G21" s="117">
        <f t="shared" si="1"/>
        <v>1203330.3100000003</v>
      </c>
      <c r="H21" s="117">
        <f t="shared" si="1"/>
        <v>6995858.6299999999</v>
      </c>
      <c r="I21" s="111"/>
      <c r="J21" s="146"/>
      <c r="K21" s="151"/>
      <c r="L21" s="15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</row>
    <row r="22" spans="1:24" ht="15.75" customHeight="1">
      <c r="A22" s="106"/>
      <c r="B22" s="106"/>
      <c r="C22" s="106"/>
      <c r="D22" s="106"/>
      <c r="E22" s="106"/>
      <c r="F22" s="109"/>
      <c r="G22" s="109"/>
      <c r="H22" s="109"/>
      <c r="I22" s="106"/>
      <c r="J22" s="147" t="s">
        <v>118</v>
      </c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</row>
    <row r="23" spans="1:24" s="112" customFormat="1" ht="15.75" customHeight="1">
      <c r="A23" s="111"/>
      <c r="B23" s="289" t="s">
        <v>128</v>
      </c>
      <c r="C23" s="290"/>
      <c r="D23" s="290"/>
      <c r="E23" s="290"/>
      <c r="F23" s="290"/>
      <c r="G23" s="290"/>
      <c r="H23" s="290"/>
      <c r="I23" s="111"/>
      <c r="J23" s="146"/>
      <c r="K23" s="151"/>
      <c r="L23" s="15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</row>
    <row r="24" spans="1:24" ht="15.75" customHeight="1">
      <c r="A24" s="106"/>
      <c r="B24" s="291"/>
      <c r="C24" s="292"/>
      <c r="D24" s="292"/>
      <c r="E24" s="292"/>
      <c r="F24" s="292"/>
      <c r="G24" s="292"/>
      <c r="H24" s="292"/>
      <c r="I24" s="106"/>
      <c r="J24" s="147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</row>
    <row r="25" spans="1:24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06"/>
      <c r="J25" s="147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</row>
    <row r="26" spans="1:24" ht="17.100000000000001" customHeight="1">
      <c r="A26" s="106"/>
      <c r="B26" s="114" t="s">
        <v>179</v>
      </c>
      <c r="C26" s="179">
        <v>755023.19</v>
      </c>
      <c r="D26" s="179">
        <v>548127.35</v>
      </c>
      <c r="E26" s="179">
        <v>542075.24</v>
      </c>
      <c r="F26" s="189">
        <v>495470.49</v>
      </c>
      <c r="G26" s="115">
        <v>487626.13</v>
      </c>
      <c r="H26" s="115">
        <f>SUM(C26:G26)</f>
        <v>2828322.4</v>
      </c>
      <c r="I26" s="106"/>
      <c r="J26" s="147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</row>
    <row r="27" spans="1:24" ht="17.100000000000001" customHeight="1">
      <c r="A27" s="106"/>
      <c r="B27" s="114" t="s">
        <v>150</v>
      </c>
      <c r="C27" s="179">
        <v>67044.08</v>
      </c>
      <c r="D27" s="179">
        <v>64945.72</v>
      </c>
      <c r="E27" s="179">
        <v>64945.72</v>
      </c>
      <c r="F27" s="189">
        <v>63584.02</v>
      </c>
      <c r="G27" s="115">
        <v>65481.06</v>
      </c>
      <c r="H27" s="115">
        <f t="shared" ref="H27:H30" si="2">SUM(D27:G27)</f>
        <v>258956.52</v>
      </c>
      <c r="I27" s="106"/>
      <c r="J27" s="147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</row>
    <row r="28" spans="1:24" ht="17.100000000000001" customHeight="1">
      <c r="A28" s="106"/>
      <c r="B28" s="114" t="s">
        <v>129</v>
      </c>
      <c r="C28" s="191">
        <v>40256.519999999997</v>
      </c>
      <c r="D28" s="191">
        <v>27034.39</v>
      </c>
      <c r="E28" s="191">
        <v>24052.01</v>
      </c>
      <c r="F28" s="190">
        <v>21886.080000000002</v>
      </c>
      <c r="G28" s="119">
        <v>17676.18</v>
      </c>
      <c r="H28" s="115">
        <f t="shared" si="2"/>
        <v>90648.66</v>
      </c>
      <c r="I28" s="106"/>
      <c r="J28" s="147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</row>
    <row r="29" spans="1:24" ht="17.100000000000001" customHeight="1">
      <c r="A29" s="106"/>
      <c r="B29" s="114" t="s">
        <v>13</v>
      </c>
      <c r="C29" s="179">
        <v>16262.03</v>
      </c>
      <c r="D29" s="179">
        <v>0</v>
      </c>
      <c r="E29" s="179">
        <v>0</v>
      </c>
      <c r="F29" s="189">
        <v>0</v>
      </c>
      <c r="G29" s="115">
        <v>0</v>
      </c>
      <c r="H29" s="115">
        <f t="shared" si="2"/>
        <v>0</v>
      </c>
      <c r="I29" s="106"/>
      <c r="J29" s="147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</row>
    <row r="30" spans="1:24" ht="17.100000000000001" customHeight="1">
      <c r="A30" s="106"/>
      <c r="B30" s="114" t="s">
        <v>130</v>
      </c>
      <c r="C30" s="191">
        <v>37362.04</v>
      </c>
      <c r="D30" s="191">
        <v>55560.09</v>
      </c>
      <c r="E30" s="191">
        <v>22252.83</v>
      </c>
      <c r="F30" s="190">
        <v>14595.13</v>
      </c>
      <c r="G30" s="119">
        <v>7086.12</v>
      </c>
      <c r="H30" s="115">
        <f t="shared" si="2"/>
        <v>99494.17</v>
      </c>
      <c r="I30" s="106"/>
      <c r="J30" s="147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</row>
    <row r="31" spans="1:24" s="112" customFormat="1" ht="17.100000000000001" customHeight="1">
      <c r="A31" s="111"/>
      <c r="B31" s="120" t="s">
        <v>84</v>
      </c>
      <c r="C31" s="121">
        <f t="shared" ref="C31:H31" si="3">SUM(C26:C30)</f>
        <v>915947.86</v>
      </c>
      <c r="D31" s="121">
        <f t="shared" si="3"/>
        <v>695667.54999999993</v>
      </c>
      <c r="E31" s="121">
        <f t="shared" si="3"/>
        <v>653325.79999999993</v>
      </c>
      <c r="F31" s="121">
        <f t="shared" si="3"/>
        <v>595535.72</v>
      </c>
      <c r="G31" s="121">
        <f t="shared" si="3"/>
        <v>577869.49</v>
      </c>
      <c r="H31" s="121">
        <f t="shared" si="3"/>
        <v>3277421.75</v>
      </c>
      <c r="I31" s="111"/>
      <c r="J31" s="146"/>
      <c r="K31" s="151"/>
      <c r="L31" s="15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spans="1:24" s="112" customFormat="1" ht="17.100000000000001" customHeight="1">
      <c r="A32" s="111"/>
      <c r="B32" s="163" t="s">
        <v>14</v>
      </c>
      <c r="C32" s="164">
        <f t="shared" ref="C32:H32" si="4">C21-C31</f>
        <v>838944.32000000018</v>
      </c>
      <c r="D32" s="164">
        <f t="shared" si="4"/>
        <v>346057.74000000022</v>
      </c>
      <c r="E32" s="164">
        <f t="shared" si="4"/>
        <v>1441695.4299999997</v>
      </c>
      <c r="F32" s="164">
        <f t="shared" si="4"/>
        <v>305353.90000000014</v>
      </c>
      <c r="G32" s="164">
        <f t="shared" si="4"/>
        <v>625460.8200000003</v>
      </c>
      <c r="H32" s="159">
        <f t="shared" si="4"/>
        <v>3718436.88</v>
      </c>
      <c r="I32" s="111"/>
      <c r="J32" s="146"/>
      <c r="K32" s="151"/>
      <c r="L32" s="15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</row>
    <row r="33" spans="1:24" ht="15.75" customHeight="1">
      <c r="A33" s="106"/>
      <c r="B33" s="106"/>
      <c r="C33" s="106"/>
      <c r="D33" s="106"/>
      <c r="E33" s="106"/>
      <c r="F33" s="109"/>
      <c r="G33" s="109"/>
      <c r="H33" s="109"/>
      <c r="I33" s="106"/>
      <c r="J33" s="147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</row>
    <row r="34" spans="1:24" s="112" customFormat="1" ht="15.75" customHeight="1">
      <c r="A34" s="111"/>
      <c r="B34" s="307" t="s">
        <v>15</v>
      </c>
      <c r="C34" s="308"/>
      <c r="D34" s="308"/>
      <c r="E34" s="308"/>
      <c r="F34" s="308"/>
      <c r="G34" s="308"/>
      <c r="H34" s="309"/>
      <c r="I34" s="111"/>
      <c r="J34" s="146"/>
      <c r="K34" s="151"/>
      <c r="L34" s="15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</row>
    <row r="35" spans="1:24" s="112" customFormat="1" ht="15.75" customHeight="1">
      <c r="A35" s="111"/>
      <c r="B35" s="289" t="s">
        <v>16</v>
      </c>
      <c r="C35" s="290"/>
      <c r="D35" s="290"/>
      <c r="E35" s="290"/>
      <c r="F35" s="290"/>
      <c r="G35" s="290"/>
      <c r="H35" s="310"/>
      <c r="I35" s="111"/>
      <c r="J35" s="146"/>
      <c r="K35" s="151"/>
      <c r="L35" s="15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</row>
    <row r="36" spans="1:24" ht="15.75" customHeight="1">
      <c r="A36" s="106"/>
      <c r="B36" s="291"/>
      <c r="C36" s="292"/>
      <c r="D36" s="292"/>
      <c r="E36" s="292"/>
      <c r="F36" s="292"/>
      <c r="G36" s="292"/>
      <c r="H36" s="311"/>
      <c r="I36" s="106"/>
      <c r="J36" s="147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</row>
    <row r="37" spans="1:24" ht="15.75" customHeight="1">
      <c r="A37" s="106"/>
      <c r="B37" s="153" t="s">
        <v>17</v>
      </c>
      <c r="C37" s="165"/>
      <c r="D37" s="165"/>
      <c r="E37" s="165"/>
      <c r="F37" s="154"/>
      <c r="G37" s="154"/>
      <c r="H37" s="130" t="s">
        <v>2</v>
      </c>
      <c r="I37" s="147"/>
      <c r="J37" s="151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</row>
    <row r="38" spans="1:24" ht="15.75" customHeight="1">
      <c r="A38" s="106"/>
      <c r="B38" s="136" t="s">
        <v>180</v>
      </c>
      <c r="C38" s="166"/>
      <c r="D38" s="166"/>
      <c r="E38" s="166"/>
      <c r="F38" s="155"/>
      <c r="G38" s="155"/>
      <c r="H38" s="161">
        <v>11242.71</v>
      </c>
      <c r="I38" s="147"/>
      <c r="J38" s="151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</row>
    <row r="39" spans="1:24" ht="15.75" customHeight="1">
      <c r="A39" s="106"/>
      <c r="B39" s="136" t="s">
        <v>181</v>
      </c>
      <c r="C39" s="166"/>
      <c r="D39" s="166"/>
      <c r="E39" s="166"/>
      <c r="F39" s="155"/>
      <c r="G39" s="155"/>
      <c r="H39" s="161">
        <v>941.38</v>
      </c>
      <c r="I39" s="147"/>
      <c r="J39" s="151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</row>
    <row r="40" spans="1:24" ht="15.75" customHeight="1">
      <c r="A40" s="106"/>
      <c r="B40" s="136" t="s">
        <v>132</v>
      </c>
      <c r="C40" s="166"/>
      <c r="D40" s="166"/>
      <c r="E40" s="166"/>
      <c r="F40" s="155"/>
      <c r="G40" s="155"/>
      <c r="H40" s="161">
        <v>0</v>
      </c>
      <c r="I40" s="147"/>
      <c r="J40" s="151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</row>
    <row r="41" spans="1:24" ht="15.75" customHeight="1">
      <c r="A41" s="106"/>
      <c r="B41" s="136" t="s">
        <v>20</v>
      </c>
      <c r="C41" s="166"/>
      <c r="D41" s="166"/>
      <c r="E41" s="166"/>
      <c r="F41" s="155"/>
      <c r="G41" s="155"/>
      <c r="H41" s="161">
        <v>615963.51</v>
      </c>
      <c r="I41" s="147"/>
      <c r="J41" s="151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</row>
    <row r="42" spans="1:24" ht="15.75" customHeight="1">
      <c r="A42" s="106"/>
      <c r="B42" s="136" t="s">
        <v>21</v>
      </c>
      <c r="C42" s="166"/>
      <c r="D42" s="166"/>
      <c r="E42" s="166"/>
      <c r="F42" s="155"/>
      <c r="G42" s="155"/>
      <c r="H42" s="161">
        <v>13494.97</v>
      </c>
      <c r="I42" s="147"/>
      <c r="J42" s="151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</row>
    <row r="43" spans="1:24" ht="15.75" customHeight="1">
      <c r="A43" s="106"/>
      <c r="B43" s="136" t="s">
        <v>22</v>
      </c>
      <c r="C43" s="166"/>
      <c r="D43" s="166"/>
      <c r="E43" s="166"/>
      <c r="F43" s="155"/>
      <c r="G43" s="155"/>
      <c r="H43" s="161">
        <v>392.32</v>
      </c>
      <c r="I43" s="147"/>
      <c r="J43" s="151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</row>
    <row r="44" spans="1:24" ht="15.75" customHeight="1">
      <c r="A44" s="106"/>
      <c r="B44" s="153" t="s">
        <v>23</v>
      </c>
      <c r="C44" s="165"/>
      <c r="D44" s="165"/>
      <c r="E44" s="165"/>
      <c r="F44" s="154"/>
      <c r="G44" s="154"/>
      <c r="H44" s="160">
        <f>SUM(H38:H43)</f>
        <v>642034.8899999999</v>
      </c>
      <c r="I44" s="147"/>
      <c r="J44" s="151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</row>
    <row r="45" spans="1:24" ht="15.75" customHeight="1">
      <c r="A45" s="106"/>
      <c r="B45" s="157"/>
      <c r="C45" s="106"/>
      <c r="D45" s="106"/>
      <c r="E45" s="106"/>
      <c r="F45" s="150"/>
      <c r="G45" s="150"/>
      <c r="H45" s="150"/>
      <c r="I45" s="147"/>
      <c r="J45" s="151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</row>
    <row r="46" spans="1:24" ht="15.75" customHeight="1">
      <c r="A46" s="106"/>
      <c r="B46" s="153" t="s">
        <v>24</v>
      </c>
      <c r="C46" s="165"/>
      <c r="D46" s="165"/>
      <c r="E46" s="165"/>
      <c r="F46" s="154"/>
      <c r="G46" s="154"/>
      <c r="H46" s="130" t="s">
        <v>2</v>
      </c>
      <c r="I46" s="147"/>
      <c r="J46" s="151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</row>
    <row r="47" spans="1:24" ht="15.75" customHeight="1">
      <c r="A47" s="106"/>
      <c r="B47" s="136" t="s">
        <v>25</v>
      </c>
      <c r="C47" s="166"/>
      <c r="D47" s="166"/>
      <c r="E47" s="166"/>
      <c r="F47" s="155"/>
      <c r="G47" s="155"/>
      <c r="H47" s="161">
        <v>38046013.740000002</v>
      </c>
      <c r="I47" s="148"/>
      <c r="J47" s="151"/>
      <c r="L47" s="108"/>
    </row>
    <row r="48" spans="1:24" ht="15.75" customHeight="1">
      <c r="B48" s="136" t="s">
        <v>26</v>
      </c>
      <c r="C48" s="166"/>
      <c r="D48" s="166"/>
      <c r="E48" s="166"/>
      <c r="F48" s="155"/>
      <c r="G48" s="155"/>
      <c r="H48" s="161">
        <v>13301133.33</v>
      </c>
      <c r="I48" s="148"/>
      <c r="J48" s="151"/>
      <c r="L48" s="108"/>
    </row>
    <row r="49" spans="2:12" ht="15.75" customHeight="1">
      <c r="B49" s="136" t="s">
        <v>27</v>
      </c>
      <c r="C49" s="166"/>
      <c r="D49" s="166"/>
      <c r="E49" s="166"/>
      <c r="F49" s="155"/>
      <c r="G49" s="155"/>
      <c r="H49" s="161">
        <v>0</v>
      </c>
      <c r="I49" s="148"/>
      <c r="J49" s="151"/>
      <c r="L49" s="108"/>
    </row>
    <row r="50" spans="2:12" ht="15.75" customHeight="1">
      <c r="B50" s="136" t="s">
        <v>131</v>
      </c>
      <c r="C50" s="166"/>
      <c r="D50" s="166"/>
      <c r="E50" s="166"/>
      <c r="F50" s="155"/>
      <c r="G50" s="155"/>
      <c r="H50" s="161">
        <v>241786.83</v>
      </c>
      <c r="I50" s="148"/>
      <c r="J50" s="151"/>
      <c r="L50" s="108"/>
    </row>
    <row r="51" spans="2:12" ht="15.75" customHeight="1">
      <c r="B51" s="153" t="s">
        <v>28</v>
      </c>
      <c r="C51" s="165"/>
      <c r="D51" s="165"/>
      <c r="E51" s="165"/>
      <c r="F51" s="154"/>
      <c r="G51" s="154"/>
      <c r="H51" s="160">
        <f>SUM(H47:H50)-H44</f>
        <v>50946899.009999998</v>
      </c>
      <c r="I51" s="148"/>
      <c r="J51" s="151"/>
      <c r="L51" s="108"/>
    </row>
    <row r="52" spans="2:12" ht="15.75" customHeight="1">
      <c r="B52" s="158"/>
      <c r="C52" s="131"/>
      <c r="D52" s="131"/>
      <c r="E52" s="131"/>
      <c r="F52" s="132"/>
      <c r="G52" s="132"/>
      <c r="H52" s="155"/>
      <c r="I52" s="148"/>
      <c r="J52" s="151"/>
      <c r="L52" s="108"/>
    </row>
    <row r="53" spans="2:12" ht="15.75" customHeight="1">
      <c r="B53" s="133" t="s">
        <v>29</v>
      </c>
      <c r="C53" s="167"/>
      <c r="D53" s="167"/>
      <c r="E53" s="167"/>
      <c r="F53" s="156"/>
      <c r="G53" s="156"/>
      <c r="H53" s="162">
        <f>H51+H44</f>
        <v>51588933.899999999</v>
      </c>
      <c r="I53" s="148"/>
      <c r="J53" s="151"/>
      <c r="L53" s="108"/>
    </row>
    <row r="54" spans="2:12" ht="15.75" customHeight="1">
      <c r="B54" s="106"/>
      <c r="C54" s="106"/>
      <c r="D54" s="106"/>
      <c r="E54" s="106"/>
      <c r="F54" s="109"/>
      <c r="G54" s="109"/>
      <c r="H54" s="109"/>
    </row>
    <row r="55" spans="2:12" ht="15.75" customHeight="1">
      <c r="B55" s="106"/>
      <c r="C55" s="106"/>
      <c r="D55" s="106"/>
      <c r="E55" s="106"/>
      <c r="F55" s="109"/>
      <c r="G55" s="109"/>
      <c r="H55" s="109"/>
    </row>
    <row r="56" spans="2:12" ht="15.75" customHeight="1">
      <c r="B56" s="106"/>
      <c r="C56" s="106"/>
      <c r="D56" s="106"/>
      <c r="E56" s="106"/>
      <c r="F56" s="109"/>
      <c r="G56" s="109"/>
      <c r="H56" s="109"/>
    </row>
    <row r="57" spans="2:12" ht="15.75" customHeight="1">
      <c r="B57" s="106"/>
      <c r="C57" s="106"/>
      <c r="D57" s="106"/>
      <c r="E57" s="106"/>
      <c r="F57" s="109"/>
      <c r="G57" s="109"/>
      <c r="H57" s="109"/>
    </row>
    <row r="58" spans="2:12" ht="15.75" customHeight="1">
      <c r="B58" s="106"/>
      <c r="C58" s="106"/>
      <c r="D58" s="106"/>
      <c r="E58" s="106"/>
      <c r="F58" s="109"/>
      <c r="G58" s="109"/>
      <c r="H58" s="109"/>
    </row>
    <row r="59" spans="2:12" ht="15.75" customHeight="1">
      <c r="B59" s="106"/>
      <c r="C59" s="106"/>
      <c r="D59" s="106"/>
      <c r="E59" s="106"/>
      <c r="F59" s="106"/>
      <c r="G59" s="106"/>
    </row>
    <row r="60" spans="2:12" ht="15.75" customHeight="1">
      <c r="B60" s="106"/>
      <c r="C60" s="106"/>
      <c r="D60" s="106"/>
      <c r="E60" s="106"/>
      <c r="F60" s="106"/>
      <c r="G60" s="106"/>
    </row>
    <row r="61" spans="2:12" ht="15.75" customHeight="1">
      <c r="B61" s="106"/>
      <c r="C61" s="106"/>
      <c r="D61" s="106"/>
      <c r="E61" s="106"/>
      <c r="F61" s="106"/>
      <c r="G61" s="106"/>
    </row>
  </sheetData>
  <mergeCells count="5">
    <mergeCell ref="B7:H8"/>
    <mergeCell ref="B23:H24"/>
    <mergeCell ref="B34:H34"/>
    <mergeCell ref="B35:H36"/>
    <mergeCell ref="B3:H3"/>
  </mergeCells>
  <pageMargins left="0.78740157480314954" right="0.78740157480314954" top="1.1811023622047245" bottom="1.1811023622047245" header="0.78740157480314954" footer="0.78740157480314954"/>
  <pageSetup paperSize="9" scale="35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1"/>
  <sheetViews>
    <sheetView showGridLines="0" workbookViewId="0">
      <selection activeCell="C26" sqref="C26:H30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19.5703125" style="108" bestFit="1" customWidth="1"/>
    <col min="4" max="5" width="18.7109375" style="108" bestFit="1" customWidth="1"/>
    <col min="6" max="6" width="21.42578125" style="108" customWidth="1"/>
    <col min="7" max="9" width="20" style="108" bestFit="1" customWidth="1"/>
    <col min="10" max="10" width="6.85546875" style="108" customWidth="1"/>
    <col min="11" max="11" width="18.42578125" style="148" bestFit="1" customWidth="1"/>
    <col min="12" max="12" width="14.7109375" style="151" bestFit="1" customWidth="1"/>
    <col min="13" max="13" width="13.5703125" style="151" bestFit="1" customWidth="1"/>
    <col min="14" max="25" width="9.5703125" style="108" customWidth="1"/>
    <col min="26" max="1029" width="9.42578125" style="108" customWidth="1"/>
    <col min="1030" max="16384" width="9.140625" style="108"/>
  </cols>
  <sheetData>
    <row r="1" spans="1:25" ht="15.75" customHeight="1">
      <c r="A1" s="106" t="s">
        <v>118</v>
      </c>
      <c r="B1" s="106"/>
      <c r="C1" s="106"/>
      <c r="D1" s="106"/>
      <c r="E1" s="106"/>
      <c r="F1" s="106"/>
      <c r="G1" s="109"/>
      <c r="H1" s="109"/>
      <c r="I1" s="109"/>
      <c r="J1" s="106"/>
      <c r="K1" s="144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</row>
    <row r="2" spans="1:25" ht="15.75" customHeight="1">
      <c r="A2" s="106"/>
      <c r="B2" s="106"/>
      <c r="C2" s="106"/>
      <c r="D2" s="106"/>
      <c r="E2" s="106"/>
      <c r="F2" s="106"/>
      <c r="G2" s="109"/>
      <c r="H2" s="109"/>
      <c r="I2" s="109"/>
      <c r="J2" s="106"/>
      <c r="K2" s="144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</row>
    <row r="3" spans="1:25" ht="15.75" customHeight="1">
      <c r="A3" s="106"/>
      <c r="B3" s="312" t="s">
        <v>173</v>
      </c>
      <c r="C3" s="312"/>
      <c r="D3" s="312"/>
      <c r="E3" s="312"/>
      <c r="F3" s="312"/>
      <c r="G3" s="312"/>
      <c r="H3" s="312"/>
      <c r="I3" s="312"/>
      <c r="J3" s="106"/>
      <c r="K3" s="144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</row>
    <row r="4" spans="1:25" ht="15.75" customHeight="1">
      <c r="A4" s="106"/>
      <c r="B4" s="106"/>
      <c r="C4" s="106"/>
      <c r="D4" s="106"/>
      <c r="E4" s="106"/>
      <c r="F4" s="106"/>
      <c r="G4" s="109"/>
      <c r="H4" s="109"/>
      <c r="I4" s="109"/>
      <c r="J4" s="106"/>
      <c r="K4" s="144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</row>
    <row r="5" spans="1:25" ht="15.75" customHeight="1">
      <c r="A5" s="106"/>
      <c r="B5" s="106"/>
      <c r="C5" s="106"/>
      <c r="D5" s="106"/>
      <c r="E5" s="106"/>
      <c r="F5" s="106"/>
      <c r="G5" s="109"/>
      <c r="H5" s="109"/>
      <c r="I5" s="109"/>
      <c r="J5" s="106"/>
      <c r="K5" s="144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</row>
    <row r="6" spans="1:25" s="141" customFormat="1" ht="24.95" customHeight="1">
      <c r="A6" s="140"/>
      <c r="B6" s="139" t="s">
        <v>0</v>
      </c>
      <c r="C6" s="139" t="s">
        <v>69</v>
      </c>
      <c r="D6" s="139" t="s">
        <v>61</v>
      </c>
      <c r="E6" s="139" t="s">
        <v>53</v>
      </c>
      <c r="F6" s="139" t="s">
        <v>44</v>
      </c>
      <c r="G6" s="139" t="s">
        <v>151</v>
      </c>
      <c r="H6" s="139" t="s">
        <v>31</v>
      </c>
      <c r="I6" s="139">
        <v>2022</v>
      </c>
      <c r="J6" s="140"/>
      <c r="K6" s="145"/>
      <c r="L6" s="151"/>
      <c r="M6" s="151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</row>
    <row r="7" spans="1:25" s="112" customFormat="1" ht="15.75" customHeight="1">
      <c r="A7" s="111"/>
      <c r="B7" s="289" t="s">
        <v>127</v>
      </c>
      <c r="C7" s="290"/>
      <c r="D7" s="290"/>
      <c r="E7" s="290"/>
      <c r="F7" s="290"/>
      <c r="G7" s="290"/>
      <c r="H7" s="290"/>
      <c r="I7" s="290"/>
      <c r="J7" s="111"/>
      <c r="K7" s="146"/>
      <c r="L7" s="151"/>
      <c r="M7" s="15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</row>
    <row r="8" spans="1:25" s="142" customFormat="1" ht="15.75" customHeight="1">
      <c r="A8" s="111"/>
      <c r="B8" s="291"/>
      <c r="C8" s="292"/>
      <c r="D8" s="292"/>
      <c r="E8" s="292"/>
      <c r="F8" s="292"/>
      <c r="G8" s="292"/>
      <c r="H8" s="292"/>
      <c r="I8" s="292"/>
      <c r="J8" s="111"/>
      <c r="K8" s="146"/>
      <c r="L8" s="151"/>
      <c r="M8" s="15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</row>
    <row r="9" spans="1:25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1"/>
      <c r="K9" s="146"/>
      <c r="L9" s="151"/>
      <c r="M9" s="15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</row>
    <row r="10" spans="1:25" ht="17.100000000000001" customHeight="1">
      <c r="A10" s="106"/>
      <c r="B10" s="136" t="s">
        <v>3</v>
      </c>
      <c r="C10" s="168">
        <v>727581.54</v>
      </c>
      <c r="D10" s="168">
        <v>524966.87</v>
      </c>
      <c r="E10" s="168">
        <v>535990.88</v>
      </c>
      <c r="F10" s="168">
        <v>636880.65</v>
      </c>
      <c r="G10" s="138">
        <v>358179.72</v>
      </c>
      <c r="H10" s="138">
        <f>467985.07+2546.27</f>
        <v>470531.34</v>
      </c>
      <c r="I10" s="138">
        <f>SUM(C10:H10)</f>
        <v>3254131</v>
      </c>
      <c r="J10" s="106"/>
      <c r="K10" s="147"/>
      <c r="L10" s="152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</row>
    <row r="11" spans="1:25" ht="17.100000000000001" customHeight="1">
      <c r="A11" s="106"/>
      <c r="B11" s="114" t="s">
        <v>4</v>
      </c>
      <c r="C11" s="169">
        <v>463056.11</v>
      </c>
      <c r="D11" s="169">
        <v>487801.26</v>
      </c>
      <c r="E11" s="169">
        <v>189358.6</v>
      </c>
      <c r="F11" s="169">
        <v>405387.8</v>
      </c>
      <c r="G11" s="135">
        <v>227932.55</v>
      </c>
      <c r="H11" s="135">
        <v>452327.34</v>
      </c>
      <c r="I11" s="138">
        <f t="shared" ref="I11:I20" si="0">SUM(C11:H11)</f>
        <v>2225863.66</v>
      </c>
      <c r="J11" s="106"/>
      <c r="K11" s="147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</row>
    <row r="12" spans="1:25" ht="17.100000000000001" customHeight="1">
      <c r="A12" s="106"/>
      <c r="B12" s="114" t="s">
        <v>133</v>
      </c>
      <c r="C12" s="171">
        <v>263303.75</v>
      </c>
      <c r="D12" s="171">
        <v>126693.92</v>
      </c>
      <c r="E12" s="171">
        <v>126693.92</v>
      </c>
      <c r="F12" s="170">
        <v>126693.92</v>
      </c>
      <c r="G12" s="115">
        <v>126693.92</v>
      </c>
      <c r="H12" s="115">
        <v>126693.92</v>
      </c>
      <c r="I12" s="138">
        <f t="shared" si="0"/>
        <v>896773.35000000009</v>
      </c>
      <c r="J12" s="106"/>
      <c r="K12" s="147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</row>
    <row r="13" spans="1:25" ht="17.100000000000001" customHeight="1">
      <c r="A13" s="106"/>
      <c r="B13" s="114" t="s">
        <v>6</v>
      </c>
      <c r="C13" s="171">
        <v>-84090.74</v>
      </c>
      <c r="D13" s="171">
        <v>505838.52</v>
      </c>
      <c r="E13" s="171">
        <v>16001.38</v>
      </c>
      <c r="F13" s="171">
        <v>809918.94</v>
      </c>
      <c r="G13" s="115">
        <v>98226.79</v>
      </c>
      <c r="H13" s="115">
        <v>38967.99</v>
      </c>
      <c r="I13" s="138">
        <f t="shared" si="0"/>
        <v>1384862.8800000001</v>
      </c>
      <c r="K13" s="147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</row>
    <row r="14" spans="1:25" ht="17.100000000000001" customHeight="1">
      <c r="A14" s="106"/>
      <c r="B14" s="114" t="s">
        <v>182</v>
      </c>
      <c r="C14" s="171">
        <v>57349.7</v>
      </c>
      <c r="D14" s="171">
        <v>56759.4</v>
      </c>
      <c r="E14" s="171">
        <v>55805.13</v>
      </c>
      <c r="F14" s="171">
        <v>55252.6</v>
      </c>
      <c r="G14" s="115">
        <v>54884.88</v>
      </c>
      <c r="H14" s="115">
        <v>54487.12</v>
      </c>
      <c r="I14" s="138">
        <f t="shared" si="0"/>
        <v>334538.83</v>
      </c>
      <c r="J14" s="106"/>
      <c r="K14" s="147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</row>
    <row r="15" spans="1:25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15">
        <v>23811.51</v>
      </c>
      <c r="I15" s="138">
        <f t="shared" si="0"/>
        <v>23811.51</v>
      </c>
      <c r="J15" s="106"/>
      <c r="K15" s="147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</row>
    <row r="16" spans="1:25" ht="17.100000000000001" customHeight="1">
      <c r="A16" s="106"/>
      <c r="B16" s="114" t="s">
        <v>183</v>
      </c>
      <c r="C16" s="171">
        <v>12621.89</v>
      </c>
      <c r="D16" s="171">
        <v>12430.62</v>
      </c>
      <c r="E16" s="171">
        <v>12368.92</v>
      </c>
      <c r="F16" s="171">
        <v>11980.7</v>
      </c>
      <c r="G16" s="115">
        <v>11840.9</v>
      </c>
      <c r="H16" s="115">
        <v>11697.01</v>
      </c>
      <c r="I16" s="138">
        <f t="shared" si="0"/>
        <v>72940.040000000008</v>
      </c>
      <c r="J16" s="106"/>
      <c r="K16" s="147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</row>
    <row r="17" spans="1:25" ht="17.100000000000001" customHeight="1">
      <c r="A17" s="106"/>
      <c r="B17" s="114" t="s">
        <v>184</v>
      </c>
      <c r="C17" s="171">
        <v>5262.12</v>
      </c>
      <c r="D17" s="171">
        <v>5182.37</v>
      </c>
      <c r="E17" s="171">
        <v>5156.6499999999996</v>
      </c>
      <c r="F17" s="171">
        <v>4994.8</v>
      </c>
      <c r="G17" s="115">
        <v>4936.5200000000004</v>
      </c>
      <c r="H17" s="115">
        <v>4876.53</v>
      </c>
      <c r="I17" s="138">
        <f t="shared" si="0"/>
        <v>30408.989999999998</v>
      </c>
      <c r="J17" s="106"/>
      <c r="K17" s="147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</row>
    <row r="18" spans="1:25" ht="17.100000000000001" customHeight="1">
      <c r="A18" s="106"/>
      <c r="B18" s="114" t="s">
        <v>185</v>
      </c>
      <c r="C18" s="171">
        <v>18028.2</v>
      </c>
      <c r="D18" s="171">
        <v>17753.55</v>
      </c>
      <c r="E18" s="171">
        <v>17665.8</v>
      </c>
      <c r="F18" s="171">
        <v>17111.64</v>
      </c>
      <c r="G18" s="115">
        <v>17026.22</v>
      </c>
      <c r="H18" s="115">
        <v>16706.07</v>
      </c>
      <c r="I18" s="138">
        <f t="shared" si="0"/>
        <v>104291.48000000001</v>
      </c>
      <c r="J18" s="106"/>
      <c r="K18" s="147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</row>
    <row r="19" spans="1:25" ht="17.100000000000001" customHeight="1">
      <c r="A19" s="106"/>
      <c r="B19" s="114" t="s">
        <v>178</v>
      </c>
      <c r="C19" s="171">
        <v>11242.71</v>
      </c>
      <c r="D19" s="171">
        <v>11242.71</v>
      </c>
      <c r="E19" s="171">
        <v>82684.009999999995</v>
      </c>
      <c r="F19" s="171">
        <v>11242.71</v>
      </c>
      <c r="G19" s="115">
        <v>0</v>
      </c>
      <c r="H19" s="115">
        <v>0</v>
      </c>
      <c r="I19" s="138">
        <f t="shared" si="0"/>
        <v>116412.13999999998</v>
      </c>
      <c r="J19" s="106"/>
      <c r="K19" s="147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</row>
    <row r="20" spans="1:25" ht="17.100000000000001" customHeight="1">
      <c r="A20" s="106"/>
      <c r="B20" s="114" t="s">
        <v>192</v>
      </c>
      <c r="C20" s="171">
        <f>1168.12+1943.36</f>
        <v>3111.4799999999996</v>
      </c>
      <c r="D20" s="171">
        <f>(1168.12*2)+(1943.36*2)</f>
        <v>6222.9599999999991</v>
      </c>
      <c r="E20" s="171">
        <v>0</v>
      </c>
      <c r="F20" s="171">
        <v>15557.47</v>
      </c>
      <c r="G20" s="115">
        <v>1168.1199999999999</v>
      </c>
      <c r="H20" s="115">
        <v>3231.48</v>
      </c>
      <c r="I20" s="138">
        <f t="shared" si="0"/>
        <v>29291.509999999995</v>
      </c>
      <c r="J20" s="106"/>
      <c r="K20" s="147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</row>
    <row r="21" spans="1:25" s="112" customFormat="1" ht="15.75" customHeight="1">
      <c r="A21" s="111"/>
      <c r="B21" s="116" t="s">
        <v>9</v>
      </c>
      <c r="C21" s="117">
        <f t="shared" ref="C21:I21" si="1">SUM(C10:C20)</f>
        <v>1477466.7599999998</v>
      </c>
      <c r="D21" s="117">
        <f t="shared" si="1"/>
        <v>1754892.1800000002</v>
      </c>
      <c r="E21" s="117">
        <f t="shared" si="1"/>
        <v>1041725.2900000002</v>
      </c>
      <c r="F21" s="117">
        <f t="shared" si="1"/>
        <v>2095021.2299999997</v>
      </c>
      <c r="G21" s="117">
        <f t="shared" si="1"/>
        <v>900889.62000000011</v>
      </c>
      <c r="H21" s="117">
        <f t="shared" si="1"/>
        <v>1203330.3100000003</v>
      </c>
      <c r="I21" s="117">
        <f t="shared" si="1"/>
        <v>8473325.3900000006</v>
      </c>
      <c r="J21" s="111"/>
      <c r="K21" s="146"/>
      <c r="L21" s="151"/>
      <c r="M21" s="15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</row>
    <row r="22" spans="1:25" ht="15.75" customHeight="1">
      <c r="A22" s="106"/>
      <c r="B22" s="106"/>
      <c r="C22" s="106"/>
      <c r="D22" s="106"/>
      <c r="E22" s="106"/>
      <c r="F22" s="106"/>
      <c r="G22" s="109"/>
      <c r="H22" s="109"/>
      <c r="I22" s="109"/>
      <c r="J22" s="106"/>
      <c r="K22" s="147" t="s">
        <v>118</v>
      </c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</row>
    <row r="23" spans="1:25" s="112" customFormat="1" ht="15.75" customHeight="1">
      <c r="A23" s="111"/>
      <c r="B23" s="289" t="s">
        <v>128</v>
      </c>
      <c r="C23" s="290"/>
      <c r="D23" s="290"/>
      <c r="E23" s="290"/>
      <c r="F23" s="290"/>
      <c r="G23" s="290"/>
      <c r="H23" s="290"/>
      <c r="I23" s="290"/>
      <c r="J23" s="111"/>
      <c r="K23" s="146"/>
      <c r="L23" s="151"/>
      <c r="M23" s="15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</row>
    <row r="24" spans="1:25" ht="15.75" customHeight="1">
      <c r="A24" s="106"/>
      <c r="B24" s="291"/>
      <c r="C24" s="292"/>
      <c r="D24" s="292"/>
      <c r="E24" s="292"/>
      <c r="F24" s="292"/>
      <c r="G24" s="292"/>
      <c r="H24" s="292"/>
      <c r="I24" s="292"/>
      <c r="J24" s="106"/>
      <c r="K24" s="147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</row>
    <row r="25" spans="1:25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06"/>
      <c r="K25" s="147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</row>
    <row r="26" spans="1:25" ht="17.100000000000001" customHeight="1">
      <c r="A26" s="106"/>
      <c r="B26" s="114" t="s">
        <v>199</v>
      </c>
      <c r="C26" s="179">
        <v>925293.45</v>
      </c>
      <c r="D26" s="179">
        <v>755023.19</v>
      </c>
      <c r="E26" s="179">
        <v>548127.35</v>
      </c>
      <c r="F26" s="179">
        <v>542075.24</v>
      </c>
      <c r="G26" s="189">
        <v>495470.49</v>
      </c>
      <c r="H26" s="115">
        <v>487626.13</v>
      </c>
      <c r="I26" s="115">
        <f>SUM(C26:H26)</f>
        <v>3753615.8499999996</v>
      </c>
      <c r="J26" s="106"/>
      <c r="K26" s="147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</row>
    <row r="27" spans="1:25" ht="17.100000000000001" customHeight="1">
      <c r="A27" s="106"/>
      <c r="B27" s="114" t="s">
        <v>116</v>
      </c>
      <c r="C27" s="179">
        <v>97154.79</v>
      </c>
      <c r="D27" s="179">
        <v>67044.08</v>
      </c>
      <c r="E27" s="179">
        <v>64945.72</v>
      </c>
      <c r="F27" s="179">
        <v>64945.72</v>
      </c>
      <c r="G27" s="189">
        <v>63584.02</v>
      </c>
      <c r="H27" s="115">
        <v>65481.06</v>
      </c>
      <c r="I27" s="115">
        <f t="shared" ref="I27:I30" si="2">SUM(C27:H27)</f>
        <v>423155.39</v>
      </c>
      <c r="J27" s="106"/>
      <c r="K27" s="147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</row>
    <row r="28" spans="1:25" ht="17.100000000000001" customHeight="1">
      <c r="A28" s="106"/>
      <c r="B28" s="114" t="s">
        <v>129</v>
      </c>
      <c r="C28" s="191">
        <v>46269.5</v>
      </c>
      <c r="D28" s="191">
        <v>40256.519999999997</v>
      </c>
      <c r="E28" s="191">
        <v>27034.39</v>
      </c>
      <c r="F28" s="191">
        <v>24052.01</v>
      </c>
      <c r="G28" s="190">
        <v>21886.080000000002</v>
      </c>
      <c r="H28" s="119">
        <v>17676.18</v>
      </c>
      <c r="I28" s="115">
        <f t="shared" si="2"/>
        <v>177174.68</v>
      </c>
      <c r="J28" s="106"/>
      <c r="K28" s="147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</row>
    <row r="29" spans="1:25" ht="17.100000000000001" customHeight="1">
      <c r="A29" s="106"/>
      <c r="B29" s="114" t="s">
        <v>193</v>
      </c>
      <c r="C29" s="179">
        <f>1531.08</f>
        <v>1531.08</v>
      </c>
      <c r="D29" s="179">
        <v>16262.03</v>
      </c>
      <c r="E29" s="179">
        <v>0</v>
      </c>
      <c r="F29" s="179">
        <v>0</v>
      </c>
      <c r="G29" s="189">
        <v>0</v>
      </c>
      <c r="H29" s="115">
        <v>0</v>
      </c>
      <c r="I29" s="115">
        <f t="shared" si="2"/>
        <v>17793.11</v>
      </c>
      <c r="J29" s="106"/>
      <c r="K29" s="147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</row>
    <row r="30" spans="1:25" ht="17.100000000000001" customHeight="1">
      <c r="A30" s="106"/>
      <c r="B30" s="114" t="s">
        <v>130</v>
      </c>
      <c r="C30" s="191">
        <v>89171.65</v>
      </c>
      <c r="D30" s="191">
        <v>37362.04</v>
      </c>
      <c r="E30" s="191">
        <v>55560.09</v>
      </c>
      <c r="F30" s="191">
        <v>22252.83</v>
      </c>
      <c r="G30" s="190">
        <v>14595.13</v>
      </c>
      <c r="H30" s="119">
        <v>7086.12</v>
      </c>
      <c r="I30" s="115">
        <f t="shared" si="2"/>
        <v>226027.86</v>
      </c>
      <c r="J30" s="106"/>
      <c r="K30" s="147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</row>
    <row r="31" spans="1:25" s="112" customFormat="1" ht="17.100000000000001" customHeight="1">
      <c r="A31" s="111"/>
      <c r="B31" s="120" t="s">
        <v>84</v>
      </c>
      <c r="C31" s="121">
        <f t="shared" ref="C31:H31" si="3">SUM(C26:C30)</f>
        <v>1159420.47</v>
      </c>
      <c r="D31" s="121">
        <f t="shared" si="3"/>
        <v>915947.86</v>
      </c>
      <c r="E31" s="121">
        <f t="shared" si="3"/>
        <v>695667.54999999993</v>
      </c>
      <c r="F31" s="121">
        <f t="shared" si="3"/>
        <v>653325.79999999993</v>
      </c>
      <c r="G31" s="121">
        <f t="shared" si="3"/>
        <v>595535.72</v>
      </c>
      <c r="H31" s="121">
        <f t="shared" si="3"/>
        <v>577869.49</v>
      </c>
      <c r="I31" s="121">
        <f>SUM(I26:I30)</f>
        <v>4597766.8900000006</v>
      </c>
      <c r="J31" s="111"/>
      <c r="K31" s="146"/>
      <c r="L31" s="151"/>
      <c r="M31" s="15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</row>
    <row r="32" spans="1:25" s="112" customFormat="1" ht="17.100000000000001" customHeight="1">
      <c r="A32" s="111"/>
      <c r="B32" s="163" t="s">
        <v>14</v>
      </c>
      <c r="C32" s="164">
        <f>C21-C31</f>
        <v>318046.2899999998</v>
      </c>
      <c r="D32" s="164">
        <f>D21-D31</f>
        <v>838944.32000000018</v>
      </c>
      <c r="E32" s="164">
        <f t="shared" ref="E32:H32" si="4">E21-E31</f>
        <v>346057.74000000022</v>
      </c>
      <c r="F32" s="164">
        <f t="shared" si="4"/>
        <v>1441695.4299999997</v>
      </c>
      <c r="G32" s="164">
        <f t="shared" si="4"/>
        <v>305353.90000000014</v>
      </c>
      <c r="H32" s="164">
        <f t="shared" si="4"/>
        <v>625460.8200000003</v>
      </c>
      <c r="I32" s="159">
        <f>I21-I31</f>
        <v>3875558.5</v>
      </c>
      <c r="J32" s="111"/>
      <c r="K32" s="146"/>
      <c r="L32" s="151"/>
      <c r="M32" s="15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</row>
    <row r="33" spans="1:25" ht="15.75" customHeight="1">
      <c r="A33" s="106"/>
      <c r="B33" s="106"/>
      <c r="C33" s="106"/>
      <c r="D33" s="106"/>
      <c r="E33" s="106"/>
      <c r="F33" s="106"/>
      <c r="G33" s="109"/>
      <c r="H33" s="109"/>
      <c r="I33" s="109"/>
      <c r="J33" s="106"/>
      <c r="K33" s="147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</row>
    <row r="34" spans="1:25" s="112" customFormat="1" ht="15.75" customHeight="1">
      <c r="A34" s="111"/>
      <c r="B34" s="307" t="s">
        <v>15</v>
      </c>
      <c r="C34" s="308"/>
      <c r="D34" s="308"/>
      <c r="E34" s="308"/>
      <c r="F34" s="308"/>
      <c r="G34" s="308"/>
      <c r="H34" s="308"/>
      <c r="I34" s="309"/>
      <c r="J34" s="111"/>
      <c r="K34" s="146"/>
      <c r="L34" s="151"/>
      <c r="M34" s="15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</row>
    <row r="35" spans="1:25" s="112" customFormat="1" ht="15.75" customHeight="1">
      <c r="A35" s="111"/>
      <c r="B35" s="289" t="s">
        <v>16</v>
      </c>
      <c r="C35" s="290"/>
      <c r="D35" s="290"/>
      <c r="E35" s="290"/>
      <c r="F35" s="290"/>
      <c r="G35" s="290"/>
      <c r="H35" s="290"/>
      <c r="I35" s="310"/>
      <c r="J35" s="111"/>
      <c r="K35" s="146"/>
      <c r="L35" s="151"/>
      <c r="M35" s="15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</row>
    <row r="36" spans="1:25" ht="15.75" customHeight="1">
      <c r="A36" s="106"/>
      <c r="B36" s="291"/>
      <c r="C36" s="292"/>
      <c r="D36" s="292"/>
      <c r="E36" s="292"/>
      <c r="F36" s="292"/>
      <c r="G36" s="292"/>
      <c r="H36" s="292"/>
      <c r="I36" s="311"/>
      <c r="J36" s="106"/>
      <c r="K36" s="147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</row>
    <row r="37" spans="1:25" ht="15.75" customHeight="1">
      <c r="A37" s="106"/>
      <c r="B37" s="153" t="s">
        <v>17</v>
      </c>
      <c r="C37" s="165"/>
      <c r="D37" s="165"/>
      <c r="E37" s="165"/>
      <c r="F37" s="165"/>
      <c r="G37" s="154"/>
      <c r="H37" s="154"/>
      <c r="I37" s="130" t="s">
        <v>2</v>
      </c>
      <c r="J37" s="147"/>
      <c r="K37" s="151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</row>
    <row r="38" spans="1:25" ht="15.75" customHeight="1">
      <c r="A38" s="106"/>
      <c r="B38" s="136" t="s">
        <v>180</v>
      </c>
      <c r="C38" s="166"/>
      <c r="D38" s="166"/>
      <c r="E38" s="166"/>
      <c r="F38" s="166"/>
      <c r="G38" s="155"/>
      <c r="H38" s="155"/>
      <c r="I38" s="161">
        <v>0</v>
      </c>
      <c r="J38" s="147"/>
      <c r="K38" s="151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</row>
    <row r="39" spans="1:25" ht="15.75" customHeight="1">
      <c r="A39" s="106"/>
      <c r="B39" s="136" t="s">
        <v>181</v>
      </c>
      <c r="C39" s="166"/>
      <c r="D39" s="166"/>
      <c r="E39" s="166"/>
      <c r="F39" s="166"/>
      <c r="G39" s="155"/>
      <c r="H39" s="155"/>
      <c r="I39" s="161">
        <v>0</v>
      </c>
      <c r="J39" s="147"/>
      <c r="K39" s="151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</row>
    <row r="40" spans="1:25" ht="15.75" customHeight="1">
      <c r="A40" s="106"/>
      <c r="B40" s="136" t="s">
        <v>132</v>
      </c>
      <c r="C40" s="166"/>
      <c r="D40" s="166"/>
      <c r="E40" s="166"/>
      <c r="F40" s="166"/>
      <c r="G40" s="155"/>
      <c r="H40" s="155"/>
      <c r="I40" s="161">
        <v>0</v>
      </c>
      <c r="J40" s="147"/>
      <c r="K40" s="151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</row>
    <row r="41" spans="1:25" ht="15.75" customHeight="1">
      <c r="A41" s="106"/>
      <c r="B41" s="136" t="s">
        <v>20</v>
      </c>
      <c r="C41" s="166"/>
      <c r="D41" s="166"/>
      <c r="E41" s="166"/>
      <c r="F41" s="166"/>
      <c r="G41" s="155"/>
      <c r="H41" s="155"/>
      <c r="I41" s="161">
        <v>195777.35</v>
      </c>
      <c r="J41" s="147"/>
      <c r="K41" s="151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</row>
    <row r="42" spans="1:25" ht="15.75" customHeight="1">
      <c r="A42" s="106"/>
      <c r="B42" s="136" t="s">
        <v>21</v>
      </c>
      <c r="C42" s="166"/>
      <c r="D42" s="166"/>
      <c r="E42" s="166"/>
      <c r="F42" s="166"/>
      <c r="G42" s="155"/>
      <c r="H42" s="155"/>
      <c r="I42" s="161">
        <v>18142.63</v>
      </c>
      <c r="J42" s="147"/>
      <c r="K42" s="151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</row>
    <row r="43" spans="1:25" ht="15.75" customHeight="1">
      <c r="A43" s="106"/>
      <c r="B43" s="136" t="s">
        <v>22</v>
      </c>
      <c r="C43" s="166"/>
      <c r="D43" s="166"/>
      <c r="E43" s="166"/>
      <c r="F43" s="166"/>
      <c r="G43" s="155"/>
      <c r="H43" s="155"/>
      <c r="I43" s="161">
        <v>343.32</v>
      </c>
      <c r="J43" s="147"/>
      <c r="K43" s="151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</row>
    <row r="44" spans="1:25" ht="15.75" customHeight="1">
      <c r="A44" s="106"/>
      <c r="B44" s="153" t="s">
        <v>23</v>
      </c>
      <c r="C44" s="165"/>
      <c r="D44" s="165"/>
      <c r="E44" s="165"/>
      <c r="F44" s="165"/>
      <c r="G44" s="154"/>
      <c r="H44" s="154"/>
      <c r="I44" s="160">
        <f>SUM(I38:I43)</f>
        <v>214263.30000000002</v>
      </c>
      <c r="J44" s="147"/>
      <c r="K44" s="151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</row>
    <row r="45" spans="1:25" ht="15.75" customHeight="1">
      <c r="A45" s="106"/>
      <c r="B45" s="157"/>
      <c r="C45" s="106"/>
      <c r="D45" s="106"/>
      <c r="E45" s="106"/>
      <c r="F45" s="106"/>
      <c r="G45" s="150"/>
      <c r="H45" s="150"/>
      <c r="I45" s="150"/>
      <c r="J45" s="147"/>
      <c r="K45" s="151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</row>
    <row r="46" spans="1:25" ht="15.75" customHeight="1">
      <c r="A46" s="106"/>
      <c r="B46" s="153" t="s">
        <v>24</v>
      </c>
      <c r="C46" s="165"/>
      <c r="D46" s="165"/>
      <c r="E46" s="165"/>
      <c r="F46" s="165"/>
      <c r="G46" s="154"/>
      <c r="H46" s="154"/>
      <c r="I46" s="130" t="s">
        <v>2</v>
      </c>
      <c r="J46" s="147"/>
      <c r="K46" s="151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</row>
    <row r="47" spans="1:25" ht="15.75" customHeight="1">
      <c r="A47" s="106"/>
      <c r="B47" s="136" t="s">
        <v>25</v>
      </c>
      <c r="C47" s="166"/>
      <c r="D47" s="166"/>
      <c r="E47" s="166"/>
      <c r="F47" s="166"/>
      <c r="G47" s="155"/>
      <c r="H47" s="155"/>
      <c r="I47" s="161">
        <v>38402537.390000001</v>
      </c>
      <c r="J47" s="148"/>
      <c r="K47" s="151"/>
      <c r="M47" s="108"/>
    </row>
    <row r="48" spans="1:25" ht="15.75" customHeight="1">
      <c r="B48" s="136" t="s">
        <v>26</v>
      </c>
      <c r="C48" s="166"/>
      <c r="D48" s="166"/>
      <c r="E48" s="166"/>
      <c r="F48" s="166"/>
      <c r="G48" s="155"/>
      <c r="H48" s="155"/>
      <c r="I48" s="161">
        <v>13319237.359999999</v>
      </c>
      <c r="J48" s="148"/>
      <c r="K48" s="151"/>
      <c r="M48" s="108"/>
    </row>
    <row r="49" spans="2:13" ht="15.75" customHeight="1">
      <c r="B49" s="136" t="s">
        <v>27</v>
      </c>
      <c r="C49" s="166"/>
      <c r="D49" s="166"/>
      <c r="E49" s="166"/>
      <c r="F49" s="166"/>
      <c r="G49" s="155"/>
      <c r="H49" s="155"/>
      <c r="I49" s="161">
        <v>0</v>
      </c>
      <c r="J49" s="148"/>
      <c r="K49" s="151"/>
      <c r="M49" s="108"/>
    </row>
    <row r="50" spans="2:13" ht="15.75" customHeight="1">
      <c r="B50" s="136" t="s">
        <v>131</v>
      </c>
      <c r="C50" s="166"/>
      <c r="D50" s="166"/>
      <c r="E50" s="166"/>
      <c r="F50" s="166"/>
      <c r="G50" s="155"/>
      <c r="H50" s="155"/>
      <c r="I50" s="161">
        <v>242240.9</v>
      </c>
      <c r="J50" s="148"/>
      <c r="K50" s="151"/>
      <c r="M50" s="108"/>
    </row>
    <row r="51" spans="2:13" ht="15.75" customHeight="1">
      <c r="B51" s="153" t="s">
        <v>28</v>
      </c>
      <c r="C51" s="165"/>
      <c r="D51" s="165"/>
      <c r="E51" s="165"/>
      <c r="F51" s="165"/>
      <c r="G51" s="154"/>
      <c r="H51" s="154"/>
      <c r="I51" s="160">
        <f>SUM(I47:I50)-I44</f>
        <v>51749752.350000001</v>
      </c>
      <c r="J51" s="148"/>
      <c r="K51" s="151"/>
      <c r="M51" s="108"/>
    </row>
    <row r="52" spans="2:13" ht="15.75" customHeight="1">
      <c r="B52" s="158"/>
      <c r="C52" s="131"/>
      <c r="D52" s="131"/>
      <c r="E52" s="131"/>
      <c r="F52" s="131"/>
      <c r="G52" s="132"/>
      <c r="H52" s="132"/>
      <c r="I52" s="155"/>
      <c r="J52" s="148"/>
      <c r="K52" s="151"/>
      <c r="M52" s="108"/>
    </row>
    <row r="53" spans="2:13" ht="15.75" customHeight="1">
      <c r="B53" s="133" t="s">
        <v>29</v>
      </c>
      <c r="C53" s="167"/>
      <c r="D53" s="167"/>
      <c r="E53" s="167"/>
      <c r="F53" s="167"/>
      <c r="G53" s="156"/>
      <c r="H53" s="156"/>
      <c r="I53" s="162">
        <f>I51+I44</f>
        <v>51964015.649999999</v>
      </c>
      <c r="J53" s="148"/>
      <c r="K53" s="151"/>
      <c r="M53" s="108"/>
    </row>
    <row r="54" spans="2:13" ht="15.75" customHeight="1">
      <c r="B54" s="106"/>
      <c r="C54" s="106"/>
      <c r="D54" s="106"/>
      <c r="E54" s="106"/>
      <c r="F54" s="106"/>
      <c r="G54" s="109"/>
      <c r="H54" s="109"/>
      <c r="I54" s="109"/>
    </row>
    <row r="55" spans="2:13" ht="15.75" customHeight="1">
      <c r="B55" s="106"/>
      <c r="C55" s="106"/>
      <c r="D55" s="106"/>
      <c r="E55" s="106"/>
      <c r="F55" s="106"/>
      <c r="G55" s="109"/>
      <c r="H55" s="109"/>
      <c r="I55" s="109"/>
    </row>
    <row r="56" spans="2:13" ht="15.75" customHeight="1">
      <c r="B56" s="106"/>
      <c r="C56" s="106"/>
      <c r="D56" s="106"/>
      <c r="E56" s="106"/>
      <c r="F56" s="106"/>
      <c r="G56" s="109"/>
      <c r="H56" s="109"/>
      <c r="I56" s="109"/>
    </row>
    <row r="57" spans="2:13" ht="15.75" customHeight="1">
      <c r="B57" s="106"/>
      <c r="C57" s="106"/>
      <c r="D57" s="106"/>
      <c r="E57" s="106"/>
      <c r="F57" s="106"/>
      <c r="G57" s="109"/>
      <c r="H57" s="109"/>
      <c r="I57" s="109"/>
    </row>
    <row r="58" spans="2:13" ht="15.75" customHeight="1">
      <c r="B58" s="106"/>
      <c r="C58" s="106"/>
      <c r="D58" s="106"/>
      <c r="E58" s="106"/>
      <c r="F58" s="106"/>
      <c r="G58" s="109"/>
      <c r="H58" s="109"/>
      <c r="I58" s="109"/>
    </row>
    <row r="59" spans="2:13" ht="15.75" customHeight="1">
      <c r="B59" s="106"/>
      <c r="C59" s="106"/>
      <c r="D59" s="106"/>
      <c r="E59" s="106"/>
      <c r="F59" s="106"/>
      <c r="G59" s="106"/>
      <c r="H59" s="106"/>
    </row>
    <row r="60" spans="2:13" ht="15.75" customHeight="1">
      <c r="B60" s="106"/>
      <c r="C60" s="106"/>
      <c r="D60" s="106"/>
      <c r="E60" s="106"/>
      <c r="F60" s="106"/>
      <c r="G60" s="106"/>
      <c r="H60" s="106"/>
    </row>
    <row r="61" spans="2:13" ht="15.75" customHeight="1">
      <c r="B61" s="106"/>
      <c r="C61" s="106"/>
      <c r="D61" s="106"/>
      <c r="E61" s="106"/>
      <c r="F61" s="106"/>
      <c r="G61" s="106"/>
      <c r="H61" s="106"/>
    </row>
  </sheetData>
  <mergeCells count="5">
    <mergeCell ref="B3:I3"/>
    <mergeCell ref="B7:I8"/>
    <mergeCell ref="B23:I24"/>
    <mergeCell ref="B34:I34"/>
    <mergeCell ref="B35:I36"/>
  </mergeCells>
  <pageMargins left="0.25" right="0.25" top="0.75" bottom="0.75" header="0.3" footer="0.3"/>
  <pageSetup paperSize="9" scale="37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1"/>
  <sheetViews>
    <sheetView showGridLines="0" workbookViewId="0">
      <selection activeCell="C26" sqref="C26:I30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20.7109375" style="108" customWidth="1"/>
    <col min="4" max="4" width="19.5703125" style="108" bestFit="1" customWidth="1"/>
    <col min="5" max="6" width="18.7109375" style="108" bestFit="1" customWidth="1"/>
    <col min="7" max="7" width="21.42578125" style="108" customWidth="1"/>
    <col min="8" max="10" width="20" style="108" bestFit="1" customWidth="1"/>
    <col min="11" max="11" width="6.85546875" style="108" customWidth="1"/>
    <col min="12" max="12" width="18.42578125" style="148" bestFit="1" customWidth="1"/>
    <col min="13" max="13" width="14.7109375" style="151" bestFit="1" customWidth="1"/>
    <col min="14" max="14" width="13.5703125" style="151" bestFit="1" customWidth="1"/>
    <col min="15" max="26" width="9.5703125" style="108" customWidth="1"/>
    <col min="27" max="1030" width="9.42578125" style="108" customWidth="1"/>
    <col min="1031" max="16384" width="9.140625" style="108"/>
  </cols>
  <sheetData>
    <row r="1" spans="1:26" ht="15.75" customHeight="1">
      <c r="A1" s="106" t="s">
        <v>118</v>
      </c>
      <c r="B1" s="106"/>
      <c r="C1" s="106"/>
      <c r="D1" s="106"/>
      <c r="E1" s="106"/>
      <c r="F1" s="106"/>
      <c r="G1" s="106"/>
      <c r="H1" s="109"/>
      <c r="I1" s="109"/>
      <c r="J1" s="109"/>
      <c r="K1" s="106"/>
      <c r="L1" s="144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</row>
    <row r="2" spans="1:26" ht="15.75" customHeight="1">
      <c r="A2" s="106"/>
      <c r="B2" s="106"/>
      <c r="C2" s="106"/>
      <c r="D2" s="106"/>
      <c r="E2" s="106"/>
      <c r="F2" s="106"/>
      <c r="G2" s="106"/>
      <c r="H2" s="109"/>
      <c r="I2" s="109"/>
      <c r="J2" s="109"/>
      <c r="K2" s="106"/>
      <c r="L2" s="144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</row>
    <row r="3" spans="1:26" ht="15.75" customHeight="1">
      <c r="A3" s="106"/>
      <c r="B3" s="312" t="s">
        <v>173</v>
      </c>
      <c r="C3" s="312"/>
      <c r="D3" s="312"/>
      <c r="E3" s="312"/>
      <c r="F3" s="312"/>
      <c r="G3" s="312"/>
      <c r="H3" s="312"/>
      <c r="I3" s="312"/>
      <c r="J3" s="312"/>
      <c r="K3" s="106"/>
      <c r="L3" s="144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</row>
    <row r="4" spans="1:26" ht="15.75" customHeight="1">
      <c r="A4" s="106"/>
      <c r="B4" s="106"/>
      <c r="C4" s="106"/>
      <c r="D4" s="106"/>
      <c r="E4" s="106"/>
      <c r="F4" s="106"/>
      <c r="G4" s="106"/>
      <c r="H4" s="109"/>
      <c r="I4" s="109"/>
      <c r="J4" s="109"/>
      <c r="K4" s="106"/>
      <c r="L4" s="144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</row>
    <row r="5" spans="1:26" ht="15.75" customHeight="1">
      <c r="A5" s="106"/>
      <c r="B5" s="106"/>
      <c r="C5" s="106"/>
      <c r="D5" s="106"/>
      <c r="E5" s="106"/>
      <c r="F5" s="106"/>
      <c r="G5" s="106"/>
      <c r="H5" s="109"/>
      <c r="I5" s="109"/>
      <c r="J5" s="109"/>
      <c r="K5" s="106"/>
      <c r="L5" s="144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</row>
    <row r="6" spans="1:26" s="141" customFormat="1" ht="24.95" customHeight="1">
      <c r="A6" s="140"/>
      <c r="B6" s="139" t="s">
        <v>0</v>
      </c>
      <c r="C6" s="139" t="s">
        <v>77</v>
      </c>
      <c r="D6" s="139" t="s">
        <v>69</v>
      </c>
      <c r="E6" s="139" t="s">
        <v>61</v>
      </c>
      <c r="F6" s="139" t="s">
        <v>53</v>
      </c>
      <c r="G6" s="139" t="s">
        <v>44</v>
      </c>
      <c r="H6" s="139" t="s">
        <v>151</v>
      </c>
      <c r="I6" s="139" t="s">
        <v>31</v>
      </c>
      <c r="J6" s="139">
        <v>2022</v>
      </c>
      <c r="K6" s="140"/>
      <c r="L6" s="145"/>
      <c r="M6" s="151"/>
      <c r="N6" s="151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</row>
    <row r="7" spans="1:26" s="112" customFormat="1" ht="15.75" customHeight="1">
      <c r="A7" s="111"/>
      <c r="B7" s="289" t="s">
        <v>127</v>
      </c>
      <c r="C7" s="290"/>
      <c r="D7" s="290"/>
      <c r="E7" s="290"/>
      <c r="F7" s="290"/>
      <c r="G7" s="290"/>
      <c r="H7" s="290"/>
      <c r="I7" s="290"/>
      <c r="J7" s="290"/>
      <c r="K7" s="111"/>
      <c r="L7" s="146"/>
      <c r="M7" s="151"/>
      <c r="N7" s="15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</row>
    <row r="8" spans="1:26" s="142" customFormat="1" ht="15.75" customHeight="1">
      <c r="A8" s="111"/>
      <c r="B8" s="291"/>
      <c r="C8" s="292"/>
      <c r="D8" s="292"/>
      <c r="E8" s="292"/>
      <c r="F8" s="292"/>
      <c r="G8" s="292"/>
      <c r="H8" s="292"/>
      <c r="I8" s="292"/>
      <c r="J8" s="292"/>
      <c r="K8" s="111"/>
      <c r="L8" s="146"/>
      <c r="M8" s="151"/>
      <c r="N8" s="15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</row>
    <row r="9" spans="1:26" s="142" customFormat="1" ht="15.75" customHeight="1">
      <c r="A9" s="111"/>
      <c r="B9" s="118" t="s">
        <v>120</v>
      </c>
      <c r="C9" s="118"/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1"/>
      <c r="L9" s="146"/>
      <c r="M9" s="151"/>
      <c r="N9" s="15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</row>
    <row r="10" spans="1:26" ht="17.100000000000001" customHeight="1">
      <c r="A10" s="106"/>
      <c r="B10" s="136" t="s">
        <v>3</v>
      </c>
      <c r="C10" s="168">
        <v>595267.09</v>
      </c>
      <c r="D10" s="168">
        <v>727581.54</v>
      </c>
      <c r="E10" s="168">
        <v>524966.87</v>
      </c>
      <c r="F10" s="168">
        <v>535990.88</v>
      </c>
      <c r="G10" s="168">
        <v>636880.65</v>
      </c>
      <c r="H10" s="138">
        <v>358179.72</v>
      </c>
      <c r="I10" s="138">
        <f>467985.07+2546.27</f>
        <v>470531.34</v>
      </c>
      <c r="J10" s="138">
        <f>SUM(C10:I10)</f>
        <v>3849398.09</v>
      </c>
      <c r="K10" s="106"/>
      <c r="L10" s="147"/>
      <c r="M10" s="152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</row>
    <row r="11" spans="1:26" ht="17.100000000000001" customHeight="1">
      <c r="A11" s="106"/>
      <c r="B11" s="114" t="s">
        <v>4</v>
      </c>
      <c r="C11" s="169">
        <v>378856.21</v>
      </c>
      <c r="D11" s="169">
        <v>463056.11</v>
      </c>
      <c r="E11" s="169">
        <v>487801.26</v>
      </c>
      <c r="F11" s="169">
        <v>189358.6</v>
      </c>
      <c r="G11" s="169">
        <v>405387.8</v>
      </c>
      <c r="H11" s="135">
        <v>227932.55</v>
      </c>
      <c r="I11" s="135">
        <v>452327.34</v>
      </c>
      <c r="J11" s="138">
        <f t="shared" ref="J11:J20" si="0">SUM(C11:I11)</f>
        <v>2604719.87</v>
      </c>
      <c r="K11" s="106"/>
      <c r="L11" s="147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</row>
    <row r="12" spans="1:26" ht="17.100000000000001" customHeight="1">
      <c r="A12" s="106"/>
      <c r="B12" s="114" t="s">
        <v>187</v>
      </c>
      <c r="C12" s="171">
        <v>263303.75</v>
      </c>
      <c r="D12" s="171">
        <v>263303.75</v>
      </c>
      <c r="E12" s="171">
        <v>126693.92</v>
      </c>
      <c r="F12" s="171">
        <v>126693.92</v>
      </c>
      <c r="G12" s="170">
        <v>126693.92</v>
      </c>
      <c r="H12" s="115">
        <v>126693.92</v>
      </c>
      <c r="I12" s="115">
        <v>126693.92</v>
      </c>
      <c r="J12" s="138">
        <f t="shared" si="0"/>
        <v>1160077.1000000001</v>
      </c>
      <c r="K12" s="106"/>
      <c r="L12" s="147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</row>
    <row r="13" spans="1:26" ht="17.100000000000001" customHeight="1">
      <c r="A13" s="106"/>
      <c r="B13" s="114" t="s">
        <v>6</v>
      </c>
      <c r="C13" s="171">
        <v>421416.32</v>
      </c>
      <c r="D13" s="171">
        <v>-84090.74</v>
      </c>
      <c r="E13" s="171">
        <v>505838.52</v>
      </c>
      <c r="F13" s="171">
        <v>16001.38</v>
      </c>
      <c r="G13" s="171">
        <v>809918.94</v>
      </c>
      <c r="H13" s="115">
        <v>98226.79</v>
      </c>
      <c r="I13" s="115">
        <v>38967.99</v>
      </c>
      <c r="J13" s="138">
        <f t="shared" si="0"/>
        <v>1806279.2</v>
      </c>
      <c r="L13" s="147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</row>
    <row r="14" spans="1:26" ht="17.100000000000001" customHeight="1">
      <c r="A14" s="106"/>
      <c r="B14" s="114" t="s">
        <v>188</v>
      </c>
      <c r="C14" s="171">
        <v>57607.77</v>
      </c>
      <c r="D14" s="171">
        <v>57349.7</v>
      </c>
      <c r="E14" s="171">
        <v>56759.4</v>
      </c>
      <c r="F14" s="171">
        <v>55805.13</v>
      </c>
      <c r="G14" s="171">
        <v>55252.6</v>
      </c>
      <c r="H14" s="115">
        <v>54884.88</v>
      </c>
      <c r="I14" s="115">
        <v>54487.12</v>
      </c>
      <c r="J14" s="138">
        <f t="shared" si="0"/>
        <v>392146.6</v>
      </c>
      <c r="K14" s="106"/>
      <c r="L14" s="147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</row>
    <row r="15" spans="1:26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15">
        <v>23811.51</v>
      </c>
      <c r="J15" s="138">
        <f t="shared" si="0"/>
        <v>23811.51</v>
      </c>
      <c r="K15" s="106"/>
      <c r="L15" s="147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</row>
    <row r="16" spans="1:26" ht="17.100000000000001" customHeight="1">
      <c r="A16" s="106"/>
      <c r="B16" s="114" t="s">
        <v>190</v>
      </c>
      <c r="C16" s="171">
        <v>12742.8</v>
      </c>
      <c r="D16" s="171">
        <v>12621.89</v>
      </c>
      <c r="E16" s="171">
        <v>12430.62</v>
      </c>
      <c r="F16" s="171">
        <v>12368.92</v>
      </c>
      <c r="G16" s="171">
        <v>11980.7</v>
      </c>
      <c r="H16" s="115">
        <v>11840.9</v>
      </c>
      <c r="I16" s="115">
        <v>11697.01</v>
      </c>
      <c r="J16" s="138">
        <f t="shared" si="0"/>
        <v>85682.839999999982</v>
      </c>
      <c r="K16" s="106"/>
      <c r="L16" s="147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</row>
    <row r="17" spans="1:26" ht="17.100000000000001" customHeight="1">
      <c r="A17" s="106"/>
      <c r="B17" s="114" t="s">
        <v>191</v>
      </c>
      <c r="C17" s="171">
        <v>5312.52</v>
      </c>
      <c r="D17" s="171">
        <v>5262.12</v>
      </c>
      <c r="E17" s="171">
        <v>5182.37</v>
      </c>
      <c r="F17" s="171">
        <v>5156.6499999999996</v>
      </c>
      <c r="G17" s="171">
        <v>4994.8</v>
      </c>
      <c r="H17" s="115">
        <v>4936.5200000000004</v>
      </c>
      <c r="I17" s="115">
        <v>4876.53</v>
      </c>
      <c r="J17" s="138">
        <f t="shared" si="0"/>
        <v>35721.509999999995</v>
      </c>
      <c r="K17" s="106"/>
      <c r="L17" s="147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</row>
    <row r="18" spans="1:26" ht="17.100000000000001" customHeight="1">
      <c r="A18" s="106"/>
      <c r="B18" s="114" t="s">
        <v>189</v>
      </c>
      <c r="C18" s="171">
        <v>18201.28</v>
      </c>
      <c r="D18" s="171">
        <v>18028.2</v>
      </c>
      <c r="E18" s="171">
        <v>17753.55</v>
      </c>
      <c r="F18" s="171">
        <v>17665.8</v>
      </c>
      <c r="G18" s="171">
        <v>17111.64</v>
      </c>
      <c r="H18" s="115">
        <v>17026.22</v>
      </c>
      <c r="I18" s="115">
        <v>16706.07</v>
      </c>
      <c r="J18" s="138">
        <f t="shared" si="0"/>
        <v>122492.76000000001</v>
      </c>
      <c r="K18" s="106"/>
      <c r="L18" s="147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</row>
    <row r="19" spans="1:26" ht="17.100000000000001" customHeight="1">
      <c r="A19" s="106"/>
      <c r="B19" s="114" t="s">
        <v>178</v>
      </c>
      <c r="C19" s="171">
        <v>11242.71</v>
      </c>
      <c r="D19" s="171">
        <v>11242.71</v>
      </c>
      <c r="E19" s="171">
        <v>11242.71</v>
      </c>
      <c r="F19" s="171">
        <v>82684.009999999995</v>
      </c>
      <c r="G19" s="171">
        <v>11242.71</v>
      </c>
      <c r="H19" s="115">
        <v>0</v>
      </c>
      <c r="I19" s="115">
        <v>0</v>
      </c>
      <c r="J19" s="138">
        <f t="shared" si="0"/>
        <v>127654.84999999998</v>
      </c>
      <c r="K19" s="106"/>
      <c r="L19" s="147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</row>
    <row r="20" spans="1:26" ht="17.100000000000001" customHeight="1">
      <c r="A20" s="106"/>
      <c r="B20" s="114" t="s">
        <v>192</v>
      </c>
      <c r="C20" s="171">
        <f>1168.12+1943.36</f>
        <v>3111.4799999999996</v>
      </c>
      <c r="D20" s="171">
        <f>1168.12+1943.36</f>
        <v>3111.4799999999996</v>
      </c>
      <c r="E20" s="171">
        <f>(1168.12*2)+(1943.36*2)</f>
        <v>6222.9599999999991</v>
      </c>
      <c r="F20" s="171">
        <v>0</v>
      </c>
      <c r="G20" s="171">
        <v>15557.47</v>
      </c>
      <c r="H20" s="115">
        <v>1168.1199999999999</v>
      </c>
      <c r="I20" s="115">
        <v>3231.48</v>
      </c>
      <c r="J20" s="138">
        <f t="shared" si="0"/>
        <v>32402.989999999998</v>
      </c>
      <c r="K20" s="106"/>
      <c r="L20" s="147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</row>
    <row r="21" spans="1:26" s="112" customFormat="1" ht="15.75" customHeight="1">
      <c r="A21" s="111"/>
      <c r="B21" s="116" t="s">
        <v>9</v>
      </c>
      <c r="C21" s="117">
        <f t="shared" ref="C21:I21" si="1">SUM(C10:C20)</f>
        <v>1767061.9300000002</v>
      </c>
      <c r="D21" s="117">
        <f t="shared" si="1"/>
        <v>1477466.7599999998</v>
      </c>
      <c r="E21" s="117">
        <f t="shared" si="1"/>
        <v>1754892.1800000002</v>
      </c>
      <c r="F21" s="117">
        <f t="shared" si="1"/>
        <v>1041725.2900000002</v>
      </c>
      <c r="G21" s="117">
        <f t="shared" si="1"/>
        <v>2095021.2299999997</v>
      </c>
      <c r="H21" s="117">
        <f t="shared" si="1"/>
        <v>900889.62000000011</v>
      </c>
      <c r="I21" s="117">
        <f t="shared" si="1"/>
        <v>1203330.3100000003</v>
      </c>
      <c r="J21" s="117">
        <f>SUM(J10:J20)</f>
        <v>10240387.319999998</v>
      </c>
      <c r="K21" s="111"/>
      <c r="L21" s="146"/>
      <c r="M21" s="151"/>
      <c r="N21" s="15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</row>
    <row r="22" spans="1:26" ht="15.75" customHeight="1">
      <c r="A22" s="106"/>
      <c r="B22" s="106"/>
      <c r="C22" s="106"/>
      <c r="D22" s="106"/>
      <c r="E22" s="106"/>
      <c r="F22" s="106"/>
      <c r="G22" s="106"/>
      <c r="H22" s="109"/>
      <c r="I22" s="109"/>
      <c r="J22" s="109"/>
      <c r="K22" s="106"/>
      <c r="L22" s="147" t="s">
        <v>118</v>
      </c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</row>
    <row r="23" spans="1:26" s="112" customFormat="1" ht="15.75" customHeight="1">
      <c r="A23" s="111"/>
      <c r="B23" s="289" t="s">
        <v>128</v>
      </c>
      <c r="C23" s="290"/>
      <c r="D23" s="290"/>
      <c r="E23" s="290"/>
      <c r="F23" s="290"/>
      <c r="G23" s="290"/>
      <c r="H23" s="290"/>
      <c r="I23" s="290"/>
      <c r="J23" s="290"/>
      <c r="K23" s="111"/>
      <c r="L23" s="146"/>
      <c r="M23" s="151"/>
      <c r="N23" s="15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</row>
    <row r="24" spans="1:26" ht="15.75" customHeight="1">
      <c r="A24" s="106"/>
      <c r="B24" s="291"/>
      <c r="C24" s="292"/>
      <c r="D24" s="292"/>
      <c r="E24" s="292"/>
      <c r="F24" s="292"/>
      <c r="G24" s="292"/>
      <c r="H24" s="292"/>
      <c r="I24" s="292"/>
      <c r="J24" s="292"/>
      <c r="K24" s="106"/>
      <c r="L24" s="147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</row>
    <row r="25" spans="1:26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06"/>
      <c r="L25" s="147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</row>
    <row r="26" spans="1:26" ht="17.100000000000001" customHeight="1">
      <c r="A26" s="106"/>
      <c r="B26" s="114" t="s">
        <v>172</v>
      </c>
      <c r="C26" s="171">
        <v>617621.43000000005</v>
      </c>
      <c r="D26" s="179">
        <v>925293.45</v>
      </c>
      <c r="E26" s="179">
        <v>755023.19</v>
      </c>
      <c r="F26" s="179">
        <v>548127.35</v>
      </c>
      <c r="G26" s="179">
        <v>542075.24</v>
      </c>
      <c r="H26" s="189">
        <v>495470.49</v>
      </c>
      <c r="I26" s="115">
        <v>487626.13</v>
      </c>
      <c r="J26" s="115">
        <f>SUM(C26:I26)</f>
        <v>4371237.28</v>
      </c>
      <c r="K26" s="106"/>
      <c r="L26" s="147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</row>
    <row r="27" spans="1:26" ht="17.100000000000001" customHeight="1">
      <c r="A27" s="106"/>
      <c r="B27" s="114" t="s">
        <v>116</v>
      </c>
      <c r="C27" s="171">
        <v>64433.17</v>
      </c>
      <c r="D27" s="179">
        <v>97154.79</v>
      </c>
      <c r="E27" s="179">
        <v>67044.08</v>
      </c>
      <c r="F27" s="179">
        <v>64945.72</v>
      </c>
      <c r="G27" s="179">
        <v>64945.72</v>
      </c>
      <c r="H27" s="189">
        <v>63584.02</v>
      </c>
      <c r="I27" s="115">
        <v>65481.06</v>
      </c>
      <c r="J27" s="115">
        <f t="shared" ref="J27:J30" si="2">SUM(C27:I27)</f>
        <v>487588.56</v>
      </c>
      <c r="K27" s="106"/>
      <c r="L27" s="147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</row>
    <row r="28" spans="1:26" ht="17.100000000000001" customHeight="1">
      <c r="A28" s="106"/>
      <c r="B28" s="114" t="s">
        <v>171</v>
      </c>
      <c r="C28" s="191">
        <v>38537.58</v>
      </c>
      <c r="D28" s="191">
        <v>46269.5</v>
      </c>
      <c r="E28" s="191">
        <v>40256.519999999997</v>
      </c>
      <c r="F28" s="191">
        <v>27034.39</v>
      </c>
      <c r="G28" s="191">
        <v>24052.01</v>
      </c>
      <c r="H28" s="190">
        <v>21886.080000000002</v>
      </c>
      <c r="I28" s="119">
        <v>17676.18</v>
      </c>
      <c r="J28" s="115">
        <f t="shared" si="2"/>
        <v>215712.26</v>
      </c>
      <c r="K28" s="106"/>
      <c r="L28" s="147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</row>
    <row r="29" spans="1:26" ht="17.100000000000001" customHeight="1">
      <c r="A29" s="106"/>
      <c r="B29" s="114" t="s">
        <v>193</v>
      </c>
      <c r="C29" s="179">
        <v>1277.42</v>
      </c>
      <c r="D29" s="179">
        <f>1531.08</f>
        <v>1531.08</v>
      </c>
      <c r="E29" s="179">
        <v>16262.03</v>
      </c>
      <c r="F29" s="179">
        <v>0</v>
      </c>
      <c r="G29" s="179">
        <v>0</v>
      </c>
      <c r="H29" s="189">
        <v>0</v>
      </c>
      <c r="I29" s="115">
        <v>0</v>
      </c>
      <c r="J29" s="115">
        <f t="shared" si="2"/>
        <v>19070.53</v>
      </c>
      <c r="K29" s="106"/>
      <c r="L29" s="147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</row>
    <row r="30" spans="1:26" ht="17.100000000000001" customHeight="1">
      <c r="A30" s="106"/>
      <c r="B30" s="114" t="s">
        <v>130</v>
      </c>
      <c r="C30" s="172">
        <v>46552.78</v>
      </c>
      <c r="D30" s="191">
        <v>89171.65</v>
      </c>
      <c r="E30" s="191">
        <v>37362.04</v>
      </c>
      <c r="F30" s="191">
        <v>55560.09</v>
      </c>
      <c r="G30" s="191">
        <v>22252.83</v>
      </c>
      <c r="H30" s="190">
        <v>14595.13</v>
      </c>
      <c r="I30" s="119">
        <v>7086.12</v>
      </c>
      <c r="J30" s="115">
        <f t="shared" si="2"/>
        <v>272580.64</v>
      </c>
      <c r="K30" s="106"/>
      <c r="L30" s="147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</row>
    <row r="31" spans="1:26" s="112" customFormat="1" ht="17.100000000000001" customHeight="1">
      <c r="A31" s="111"/>
      <c r="B31" s="120" t="s">
        <v>84</v>
      </c>
      <c r="C31" s="121">
        <f t="shared" ref="C31:I31" si="3">SUM(C26:C30)</f>
        <v>768422.38000000012</v>
      </c>
      <c r="D31" s="121">
        <f t="shared" si="3"/>
        <v>1159420.47</v>
      </c>
      <c r="E31" s="121">
        <f t="shared" si="3"/>
        <v>915947.86</v>
      </c>
      <c r="F31" s="121">
        <f t="shared" si="3"/>
        <v>695667.54999999993</v>
      </c>
      <c r="G31" s="121">
        <f t="shared" si="3"/>
        <v>653325.79999999993</v>
      </c>
      <c r="H31" s="121">
        <f t="shared" si="3"/>
        <v>595535.72</v>
      </c>
      <c r="I31" s="121">
        <f t="shared" si="3"/>
        <v>577869.49</v>
      </c>
      <c r="J31" s="121">
        <f>SUM(J26:J30)</f>
        <v>5366189.2699999996</v>
      </c>
      <c r="K31" s="111"/>
      <c r="L31" s="146"/>
      <c r="M31" s="151"/>
      <c r="N31" s="15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</row>
    <row r="32" spans="1:26" s="112" customFormat="1" ht="17.100000000000001" customHeight="1">
      <c r="A32" s="111"/>
      <c r="B32" s="163" t="s">
        <v>14</v>
      </c>
      <c r="C32" s="164">
        <f>C21-C31</f>
        <v>998639.55</v>
      </c>
      <c r="D32" s="164">
        <f>D21-D31</f>
        <v>318046.2899999998</v>
      </c>
      <c r="E32" s="164">
        <f>E21-E31</f>
        <v>838944.32000000018</v>
      </c>
      <c r="F32" s="164">
        <f t="shared" ref="F32:I32" si="4">F21-F31</f>
        <v>346057.74000000022</v>
      </c>
      <c r="G32" s="164">
        <f t="shared" si="4"/>
        <v>1441695.4299999997</v>
      </c>
      <c r="H32" s="164">
        <f t="shared" si="4"/>
        <v>305353.90000000014</v>
      </c>
      <c r="I32" s="164">
        <f t="shared" si="4"/>
        <v>625460.8200000003</v>
      </c>
      <c r="J32" s="159">
        <f>J21-J31</f>
        <v>4874198.0499999989</v>
      </c>
      <c r="K32" s="111"/>
      <c r="L32" s="146"/>
      <c r="M32" s="151"/>
      <c r="N32" s="15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</row>
    <row r="33" spans="1:26" ht="15.75" customHeight="1">
      <c r="A33" s="106"/>
      <c r="B33" s="106"/>
      <c r="C33" s="106"/>
      <c r="D33" s="106"/>
      <c r="E33" s="106"/>
      <c r="F33" s="106"/>
      <c r="G33" s="106"/>
      <c r="H33" s="109"/>
      <c r="I33" s="109"/>
      <c r="J33" s="109"/>
      <c r="K33" s="106"/>
      <c r="L33" s="147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</row>
    <row r="34" spans="1:26" s="112" customFormat="1" ht="15.75" customHeight="1">
      <c r="A34" s="111"/>
      <c r="B34" s="307" t="s">
        <v>15</v>
      </c>
      <c r="C34" s="308"/>
      <c r="D34" s="308"/>
      <c r="E34" s="308"/>
      <c r="F34" s="308"/>
      <c r="G34" s="308"/>
      <c r="H34" s="308"/>
      <c r="I34" s="308"/>
      <c r="J34" s="309"/>
      <c r="K34" s="111"/>
      <c r="L34" s="146"/>
      <c r="M34" s="151"/>
      <c r="N34" s="15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</row>
    <row r="35" spans="1:26" s="112" customFormat="1" ht="15.75" customHeight="1">
      <c r="A35" s="111"/>
      <c r="B35" s="289" t="s">
        <v>16</v>
      </c>
      <c r="C35" s="290"/>
      <c r="D35" s="290"/>
      <c r="E35" s="290"/>
      <c r="F35" s="290"/>
      <c r="G35" s="290"/>
      <c r="H35" s="290"/>
      <c r="I35" s="290"/>
      <c r="J35" s="310"/>
      <c r="K35" s="111"/>
      <c r="L35" s="146"/>
      <c r="M35" s="151"/>
      <c r="N35" s="15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</row>
    <row r="36" spans="1:26" ht="15.75" customHeight="1">
      <c r="A36" s="106"/>
      <c r="B36" s="291"/>
      <c r="C36" s="292"/>
      <c r="D36" s="292"/>
      <c r="E36" s="292"/>
      <c r="F36" s="292"/>
      <c r="G36" s="292"/>
      <c r="H36" s="292"/>
      <c r="I36" s="292"/>
      <c r="J36" s="311"/>
      <c r="K36" s="106"/>
      <c r="L36" s="147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</row>
    <row r="37" spans="1:26" ht="15.75" customHeight="1">
      <c r="A37" s="106"/>
      <c r="B37" s="153" t="s">
        <v>17</v>
      </c>
      <c r="C37" s="165"/>
      <c r="D37" s="165"/>
      <c r="E37" s="165"/>
      <c r="F37" s="165"/>
      <c r="G37" s="165"/>
      <c r="H37" s="154"/>
      <c r="I37" s="154"/>
      <c r="J37" s="130" t="s">
        <v>2</v>
      </c>
      <c r="K37" s="147"/>
      <c r="L37" s="151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</row>
    <row r="38" spans="1:26" ht="15.75" customHeight="1">
      <c r="A38" s="106"/>
      <c r="B38" s="136" t="s">
        <v>180</v>
      </c>
      <c r="C38" s="166"/>
      <c r="D38" s="166"/>
      <c r="E38" s="166"/>
      <c r="F38" s="166"/>
      <c r="G38" s="166"/>
      <c r="H38" s="155"/>
      <c r="I38" s="155"/>
      <c r="J38" s="161">
        <v>0</v>
      </c>
      <c r="K38" s="147"/>
      <c r="L38" s="151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</row>
    <row r="39" spans="1:26" ht="15.75" customHeight="1">
      <c r="A39" s="106"/>
      <c r="B39" s="136" t="s">
        <v>181</v>
      </c>
      <c r="C39" s="166"/>
      <c r="D39" s="166"/>
      <c r="E39" s="166"/>
      <c r="F39" s="166"/>
      <c r="G39" s="166"/>
      <c r="H39" s="155"/>
      <c r="I39" s="155"/>
      <c r="J39" s="161">
        <v>0</v>
      </c>
      <c r="K39" s="147"/>
      <c r="L39" s="151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</row>
    <row r="40" spans="1:26" ht="15.75" customHeight="1">
      <c r="A40" s="106"/>
      <c r="B40" s="136" t="s">
        <v>132</v>
      </c>
      <c r="C40" s="166"/>
      <c r="D40" s="166"/>
      <c r="E40" s="166"/>
      <c r="F40" s="166"/>
      <c r="G40" s="166"/>
      <c r="H40" s="155"/>
      <c r="I40" s="155"/>
      <c r="J40" s="161">
        <v>0</v>
      </c>
      <c r="K40" s="147"/>
      <c r="L40" s="151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</row>
    <row r="41" spans="1:26" ht="15.75" customHeight="1">
      <c r="A41" s="106"/>
      <c r="B41" s="136" t="s">
        <v>20</v>
      </c>
      <c r="C41" s="166"/>
      <c r="D41" s="166"/>
      <c r="E41" s="166"/>
      <c r="F41" s="166"/>
      <c r="G41" s="166"/>
      <c r="H41" s="155"/>
      <c r="I41" s="155"/>
      <c r="J41" s="161">
        <v>270891.3</v>
      </c>
      <c r="K41" s="147"/>
      <c r="L41" s="151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</row>
    <row r="42" spans="1:26" ht="15.75" customHeight="1">
      <c r="A42" s="106"/>
      <c r="B42" s="136" t="s">
        <v>21</v>
      </c>
      <c r="C42" s="166"/>
      <c r="D42" s="166"/>
      <c r="E42" s="166"/>
      <c r="F42" s="166"/>
      <c r="G42" s="166"/>
      <c r="H42" s="155"/>
      <c r="I42" s="155"/>
      <c r="J42" s="161">
        <v>17345.5</v>
      </c>
      <c r="K42" s="147"/>
      <c r="L42" s="151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</row>
    <row r="43" spans="1:26" ht="15.75" customHeight="1">
      <c r="A43" s="106"/>
      <c r="B43" s="136" t="s">
        <v>22</v>
      </c>
      <c r="C43" s="166"/>
      <c r="D43" s="166"/>
      <c r="E43" s="166"/>
      <c r="F43" s="166"/>
      <c r="G43" s="166"/>
      <c r="H43" s="155"/>
      <c r="I43" s="155"/>
      <c r="J43" s="161">
        <v>294.32</v>
      </c>
      <c r="K43" s="147"/>
      <c r="L43" s="151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</row>
    <row r="44" spans="1:26" ht="15.75" customHeight="1">
      <c r="A44" s="106"/>
      <c r="B44" s="153" t="s">
        <v>23</v>
      </c>
      <c r="C44" s="165"/>
      <c r="D44" s="165"/>
      <c r="E44" s="165"/>
      <c r="F44" s="165"/>
      <c r="G44" s="165"/>
      <c r="H44" s="154"/>
      <c r="I44" s="154"/>
      <c r="J44" s="160">
        <f>SUM(J38:J43)</f>
        <v>288531.12</v>
      </c>
      <c r="K44" s="147"/>
      <c r="L44" s="151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</row>
    <row r="45" spans="1:26" ht="15.75" customHeight="1">
      <c r="A45" s="106"/>
      <c r="B45" s="157"/>
      <c r="C45" s="106"/>
      <c r="D45" s="106"/>
      <c r="E45" s="106"/>
      <c r="F45" s="106"/>
      <c r="G45" s="106"/>
      <c r="H45" s="150"/>
      <c r="I45" s="150"/>
      <c r="J45" s="150"/>
      <c r="K45" s="147"/>
      <c r="L45" s="151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</row>
    <row r="46" spans="1:26" ht="15.75" customHeight="1">
      <c r="A46" s="106"/>
      <c r="B46" s="153" t="s">
        <v>24</v>
      </c>
      <c r="C46" s="165"/>
      <c r="D46" s="165"/>
      <c r="E46" s="165"/>
      <c r="F46" s="165"/>
      <c r="G46" s="165"/>
      <c r="H46" s="154"/>
      <c r="I46" s="154"/>
      <c r="J46" s="130" t="s">
        <v>2</v>
      </c>
      <c r="K46" s="147"/>
      <c r="L46" s="151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</row>
    <row r="47" spans="1:26" ht="15.75" customHeight="1">
      <c r="A47" s="106"/>
      <c r="B47" s="136" t="s">
        <v>25</v>
      </c>
      <c r="C47" s="166"/>
      <c r="D47" s="166"/>
      <c r="E47" s="166"/>
      <c r="F47" s="166"/>
      <c r="G47" s="166"/>
      <c r="H47" s="155"/>
      <c r="I47" s="155"/>
      <c r="J47" s="161">
        <v>39296791.950000003</v>
      </c>
      <c r="K47" s="148"/>
      <c r="L47" s="151"/>
      <c r="N47" s="108"/>
    </row>
    <row r="48" spans="1:26" ht="15.75" customHeight="1">
      <c r="B48" s="136" t="s">
        <v>26</v>
      </c>
      <c r="C48" s="166"/>
      <c r="D48" s="166"/>
      <c r="E48" s="166"/>
      <c r="F48" s="166"/>
      <c r="G48" s="166"/>
      <c r="H48" s="155"/>
      <c r="I48" s="155"/>
      <c r="J48" s="161">
        <v>13422222.43</v>
      </c>
      <c r="K48" s="148"/>
      <c r="L48" s="151"/>
      <c r="N48" s="108"/>
    </row>
    <row r="49" spans="2:14" ht="15.75" customHeight="1">
      <c r="B49" s="136" t="s">
        <v>27</v>
      </c>
      <c r="C49" s="166"/>
      <c r="D49" s="166"/>
      <c r="E49" s="166"/>
      <c r="F49" s="166"/>
      <c r="G49" s="166"/>
      <c r="H49" s="155"/>
      <c r="I49" s="155"/>
      <c r="J49" s="161">
        <v>0</v>
      </c>
      <c r="K49" s="148"/>
      <c r="L49" s="151"/>
      <c r="N49" s="108"/>
    </row>
    <row r="50" spans="2:14" ht="15.75" customHeight="1">
      <c r="B50" s="136" t="s">
        <v>131</v>
      </c>
      <c r="C50" s="166"/>
      <c r="D50" s="166"/>
      <c r="E50" s="166"/>
      <c r="F50" s="166"/>
      <c r="G50" s="166"/>
      <c r="H50" s="155"/>
      <c r="I50" s="155"/>
      <c r="J50" s="161">
        <v>255231.87</v>
      </c>
      <c r="K50" s="148"/>
      <c r="L50" s="151"/>
      <c r="N50" s="108"/>
    </row>
    <row r="51" spans="2:14" ht="15.75" customHeight="1">
      <c r="B51" s="153" t="s">
        <v>28</v>
      </c>
      <c r="C51" s="165"/>
      <c r="D51" s="165"/>
      <c r="E51" s="165"/>
      <c r="F51" s="165"/>
      <c r="G51" s="165"/>
      <c r="H51" s="154"/>
      <c r="I51" s="154"/>
      <c r="J51" s="160">
        <f>SUM(J47:J50)-J44</f>
        <v>52685715.130000003</v>
      </c>
      <c r="K51" s="148"/>
      <c r="L51" s="151"/>
      <c r="N51" s="108"/>
    </row>
    <row r="52" spans="2:14" ht="15.75" customHeight="1">
      <c r="B52" s="158"/>
      <c r="C52" s="131"/>
      <c r="D52" s="131"/>
      <c r="E52" s="131"/>
      <c r="F52" s="131"/>
      <c r="G52" s="131"/>
      <c r="H52" s="132"/>
      <c r="I52" s="132"/>
      <c r="J52" s="155"/>
      <c r="K52" s="148"/>
      <c r="L52" s="151"/>
      <c r="N52" s="108"/>
    </row>
    <row r="53" spans="2:14" ht="15.75" customHeight="1">
      <c r="B53" s="133" t="s">
        <v>29</v>
      </c>
      <c r="C53" s="167"/>
      <c r="D53" s="167"/>
      <c r="E53" s="167"/>
      <c r="F53" s="167"/>
      <c r="G53" s="167"/>
      <c r="H53" s="156"/>
      <c r="I53" s="156"/>
      <c r="J53" s="162">
        <f>J51+J44</f>
        <v>52974246.25</v>
      </c>
      <c r="K53" s="148"/>
      <c r="L53" s="151"/>
      <c r="N53" s="108"/>
    </row>
    <row r="54" spans="2:14" ht="15.75" customHeight="1">
      <c r="B54" s="106"/>
      <c r="C54" s="106"/>
      <c r="D54" s="106"/>
      <c r="E54" s="106"/>
      <c r="F54" s="106"/>
      <c r="G54" s="106"/>
      <c r="H54" s="109"/>
      <c r="I54" s="109"/>
      <c r="J54" s="109"/>
    </row>
    <row r="55" spans="2:14" ht="15.75" customHeight="1">
      <c r="B55" s="106"/>
      <c r="C55" s="106"/>
      <c r="D55" s="106"/>
      <c r="E55" s="106"/>
      <c r="F55" s="106"/>
      <c r="G55" s="106"/>
      <c r="H55" s="109"/>
      <c r="I55" s="109"/>
      <c r="J55" s="109"/>
    </row>
    <row r="56" spans="2:14" ht="15.75" customHeight="1">
      <c r="B56" s="106"/>
      <c r="C56" s="106"/>
      <c r="D56" s="106"/>
      <c r="E56" s="106"/>
      <c r="F56" s="106"/>
      <c r="G56" s="106"/>
      <c r="H56" s="109"/>
      <c r="I56" s="109"/>
      <c r="J56" s="109"/>
    </row>
    <row r="57" spans="2:14" ht="15.75" customHeight="1">
      <c r="B57" s="106"/>
      <c r="C57" s="106"/>
      <c r="D57" s="106"/>
      <c r="E57" s="106"/>
      <c r="F57" s="106"/>
      <c r="G57" s="106"/>
      <c r="H57" s="109"/>
      <c r="I57" s="109"/>
      <c r="J57" s="109"/>
    </row>
    <row r="58" spans="2:14" ht="15.75" customHeight="1">
      <c r="B58" s="106"/>
      <c r="C58" s="106"/>
      <c r="D58" s="106"/>
      <c r="E58" s="106"/>
      <c r="F58" s="106"/>
      <c r="G58" s="106"/>
      <c r="H58" s="109"/>
      <c r="I58" s="109"/>
      <c r="J58" s="109"/>
    </row>
    <row r="59" spans="2:14" ht="15.75" customHeight="1">
      <c r="B59" s="106"/>
      <c r="C59" s="106"/>
      <c r="D59" s="106"/>
      <c r="E59" s="106"/>
      <c r="F59" s="106"/>
      <c r="G59" s="106"/>
      <c r="H59" s="106"/>
      <c r="I59" s="106"/>
    </row>
    <row r="60" spans="2:14" ht="15.75" customHeight="1">
      <c r="B60" s="106"/>
      <c r="C60" s="106"/>
      <c r="D60" s="106"/>
      <c r="E60" s="106"/>
      <c r="F60" s="106"/>
      <c r="G60" s="106"/>
      <c r="H60" s="106"/>
      <c r="I60" s="106"/>
    </row>
    <row r="61" spans="2:14" ht="15.75" customHeight="1">
      <c r="B61" s="106"/>
      <c r="C61" s="106"/>
      <c r="D61" s="106"/>
      <c r="E61" s="106"/>
      <c r="F61" s="106"/>
      <c r="G61" s="106"/>
      <c r="H61" s="106"/>
      <c r="I61" s="106"/>
    </row>
  </sheetData>
  <mergeCells count="5">
    <mergeCell ref="B3:J3"/>
    <mergeCell ref="B7:J8"/>
    <mergeCell ref="B23:J24"/>
    <mergeCell ref="B34:J34"/>
    <mergeCell ref="B35:J36"/>
  </mergeCells>
  <pageMargins left="0.23622047244094488" right="0.23622047244094488" top="0.19685039370078741" bottom="0.19685039370078741" header="0.31496062992125984" footer="0.31496062992125984"/>
  <pageSetup paperSize="9" scale="35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61"/>
  <sheetViews>
    <sheetView showGridLines="0" topLeftCell="B4" workbookViewId="0">
      <selection activeCell="C26" sqref="C26:J30"/>
    </sheetView>
  </sheetViews>
  <sheetFormatPr defaultRowHeight="15.75" customHeight="1"/>
  <cols>
    <col min="1" max="1" width="15.5703125" style="108" customWidth="1"/>
    <col min="2" max="2" width="59.7109375" style="108" customWidth="1"/>
    <col min="3" max="3" width="20.7109375" style="148" customWidth="1"/>
    <col min="4" max="4" width="20.7109375" style="108" customWidth="1"/>
    <col min="5" max="5" width="19.5703125" style="108" bestFit="1" customWidth="1"/>
    <col min="6" max="7" width="18.7109375" style="108" bestFit="1" customWidth="1"/>
    <col min="8" max="8" width="21.42578125" style="108" customWidth="1"/>
    <col min="9" max="11" width="20" style="108" bestFit="1" customWidth="1"/>
    <col min="12" max="12" width="6.85546875" style="108" customWidth="1"/>
    <col min="13" max="13" width="18.42578125" style="148" bestFit="1" customWidth="1"/>
    <col min="14" max="14" width="14.7109375" style="151" bestFit="1" customWidth="1"/>
    <col min="15" max="15" width="13.5703125" style="151" bestFit="1" customWidth="1"/>
    <col min="16" max="27" width="9.5703125" style="108" customWidth="1"/>
    <col min="28" max="1031" width="9.42578125" style="108" customWidth="1"/>
    <col min="1032" max="16384" width="9.140625" style="108"/>
  </cols>
  <sheetData>
    <row r="1" spans="1:27" ht="15.75" customHeight="1">
      <c r="A1" s="106" t="s">
        <v>118</v>
      </c>
      <c r="B1" s="106"/>
      <c r="C1" s="144"/>
      <c r="D1" s="106"/>
      <c r="E1" s="106"/>
      <c r="F1" s="106"/>
      <c r="G1" s="106"/>
      <c r="H1" s="106"/>
      <c r="I1" s="109"/>
      <c r="J1" s="109"/>
      <c r="K1" s="109"/>
      <c r="L1" s="106"/>
      <c r="M1" s="144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</row>
    <row r="2" spans="1:27" ht="15.75" customHeight="1">
      <c r="A2" s="106"/>
      <c r="B2" s="106"/>
      <c r="C2" s="144"/>
      <c r="D2" s="106"/>
      <c r="E2" s="106"/>
      <c r="F2" s="106"/>
      <c r="G2" s="106"/>
      <c r="H2" s="106"/>
      <c r="I2" s="109"/>
      <c r="J2" s="109"/>
      <c r="K2" s="109"/>
      <c r="L2" s="106"/>
      <c r="M2" s="144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</row>
    <row r="3" spans="1:27" ht="15.75" customHeight="1">
      <c r="A3" s="106"/>
      <c r="B3" s="312" t="s">
        <v>173</v>
      </c>
      <c r="C3" s="312"/>
      <c r="D3" s="312"/>
      <c r="E3" s="312"/>
      <c r="F3" s="312"/>
      <c r="G3" s="312"/>
      <c r="H3" s="312"/>
      <c r="I3" s="312"/>
      <c r="J3" s="312"/>
      <c r="K3" s="312"/>
      <c r="L3" s="106"/>
      <c r="M3" s="144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</row>
    <row r="4" spans="1:27" ht="15.75" customHeight="1">
      <c r="A4" s="106"/>
      <c r="B4" s="106"/>
      <c r="C4" s="144"/>
      <c r="D4" s="106"/>
      <c r="E4" s="106"/>
      <c r="F4" s="106"/>
      <c r="G4" s="106"/>
      <c r="H4" s="106"/>
      <c r="I4" s="109"/>
      <c r="J4" s="109"/>
      <c r="K4" s="109"/>
      <c r="L4" s="106"/>
      <c r="M4" s="144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</row>
    <row r="5" spans="1:27" ht="15.75" customHeight="1">
      <c r="A5" s="106"/>
      <c r="B5" s="106"/>
      <c r="C5" s="144"/>
      <c r="D5" s="106"/>
      <c r="E5" s="106"/>
      <c r="F5" s="106"/>
      <c r="G5" s="106"/>
      <c r="H5" s="106"/>
      <c r="I5" s="109"/>
      <c r="J5" s="109"/>
      <c r="K5" s="109"/>
      <c r="L5" s="106"/>
      <c r="M5" s="144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</row>
    <row r="6" spans="1:27" s="141" customFormat="1" ht="24.95" customHeight="1">
      <c r="A6" s="140"/>
      <c r="B6" s="139" t="s">
        <v>0</v>
      </c>
      <c r="C6" s="173" t="s">
        <v>85</v>
      </c>
      <c r="D6" s="139" t="s">
        <v>77</v>
      </c>
      <c r="E6" s="139" t="s">
        <v>69</v>
      </c>
      <c r="F6" s="139" t="s">
        <v>61</v>
      </c>
      <c r="G6" s="139" t="s">
        <v>53</v>
      </c>
      <c r="H6" s="139" t="s">
        <v>44</v>
      </c>
      <c r="I6" s="139" t="s">
        <v>151</v>
      </c>
      <c r="J6" s="139" t="s">
        <v>31</v>
      </c>
      <c r="K6" s="139">
        <v>2022</v>
      </c>
      <c r="L6" s="140"/>
      <c r="M6" s="145"/>
      <c r="N6" s="151"/>
      <c r="O6" s="151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</row>
    <row r="7" spans="1:27" s="112" customFormat="1" ht="15.75" customHeight="1">
      <c r="A7" s="111"/>
      <c r="B7" s="289" t="s">
        <v>127</v>
      </c>
      <c r="C7" s="290"/>
      <c r="D7" s="290"/>
      <c r="E7" s="290"/>
      <c r="F7" s="290"/>
      <c r="G7" s="290"/>
      <c r="H7" s="290"/>
      <c r="I7" s="290"/>
      <c r="J7" s="290"/>
      <c r="K7" s="290"/>
      <c r="L7" s="111"/>
      <c r="M7" s="146"/>
      <c r="N7" s="151"/>
      <c r="O7" s="15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</row>
    <row r="8" spans="1:27" s="142" customFormat="1" ht="15.75" customHeight="1">
      <c r="A8" s="111"/>
      <c r="B8" s="291"/>
      <c r="C8" s="292"/>
      <c r="D8" s="292"/>
      <c r="E8" s="292"/>
      <c r="F8" s="292"/>
      <c r="G8" s="292"/>
      <c r="H8" s="292"/>
      <c r="I8" s="292"/>
      <c r="J8" s="292"/>
      <c r="K8" s="292"/>
      <c r="L8" s="111"/>
      <c r="M8" s="146"/>
      <c r="N8" s="151"/>
      <c r="O8" s="15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</row>
    <row r="9" spans="1:27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1"/>
      <c r="M9" s="146"/>
      <c r="N9" s="151"/>
      <c r="O9" s="15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</row>
    <row r="10" spans="1:27" ht="17.100000000000001" customHeight="1">
      <c r="A10" s="106"/>
      <c r="B10" s="136" t="s">
        <v>3</v>
      </c>
      <c r="C10" s="168">
        <v>597854.14</v>
      </c>
      <c r="D10" s="168">
        <v>595267.09</v>
      </c>
      <c r="E10" s="168">
        <v>727581.54</v>
      </c>
      <c r="F10" s="168">
        <v>524966.87</v>
      </c>
      <c r="G10" s="168">
        <v>535990.88</v>
      </c>
      <c r="H10" s="168">
        <v>636880.65</v>
      </c>
      <c r="I10" s="138">
        <v>358179.72</v>
      </c>
      <c r="J10" s="138">
        <f>467985.07+2546.27</f>
        <v>470531.34</v>
      </c>
      <c r="K10" s="138">
        <f t="shared" ref="K10:K20" si="0">SUM(C10:J10)</f>
        <v>4447252.2299999995</v>
      </c>
      <c r="L10" s="106"/>
      <c r="M10" s="147"/>
      <c r="N10" s="152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</row>
    <row r="11" spans="1:27" ht="17.100000000000001" customHeight="1">
      <c r="A11" s="106"/>
      <c r="B11" s="114" t="s">
        <v>4</v>
      </c>
      <c r="C11" s="169">
        <v>380502.6</v>
      </c>
      <c r="D11" s="169">
        <v>378856.21</v>
      </c>
      <c r="E11" s="169">
        <v>463056.11</v>
      </c>
      <c r="F11" s="169">
        <v>487801.26</v>
      </c>
      <c r="G11" s="169">
        <v>189358.6</v>
      </c>
      <c r="H11" s="169">
        <v>405387.8</v>
      </c>
      <c r="I11" s="135">
        <v>227932.55</v>
      </c>
      <c r="J11" s="135">
        <v>452327.34</v>
      </c>
      <c r="K11" s="138">
        <f t="shared" si="0"/>
        <v>2985222.4699999997</v>
      </c>
      <c r="L11" s="106"/>
      <c r="M11" s="147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</row>
    <row r="12" spans="1:27" ht="17.100000000000001" customHeight="1">
      <c r="A12" s="106"/>
      <c r="B12" s="114" t="s">
        <v>194</v>
      </c>
      <c r="C12" s="171">
        <v>263303.75</v>
      </c>
      <c r="D12" s="171">
        <v>263303.75</v>
      </c>
      <c r="E12" s="171">
        <v>263303.75</v>
      </c>
      <c r="F12" s="171">
        <v>126693.92</v>
      </c>
      <c r="G12" s="171">
        <v>126693.92</v>
      </c>
      <c r="H12" s="170">
        <v>126693.92</v>
      </c>
      <c r="I12" s="115">
        <v>126693.92</v>
      </c>
      <c r="J12" s="115">
        <v>126693.92</v>
      </c>
      <c r="K12" s="138">
        <f t="shared" si="0"/>
        <v>1423380.8499999999</v>
      </c>
      <c r="L12" s="106"/>
      <c r="M12" s="147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</row>
    <row r="13" spans="1:27" ht="17.100000000000001" customHeight="1">
      <c r="A13" s="106"/>
      <c r="B13" s="114" t="s">
        <v>6</v>
      </c>
      <c r="C13" s="171">
        <v>676344.82</v>
      </c>
      <c r="D13" s="171">
        <v>421416.32</v>
      </c>
      <c r="E13" s="171">
        <v>-84090.74</v>
      </c>
      <c r="F13" s="171">
        <v>505838.52</v>
      </c>
      <c r="G13" s="171">
        <v>16001.38</v>
      </c>
      <c r="H13" s="171">
        <v>809918.94</v>
      </c>
      <c r="I13" s="115">
        <v>98226.79</v>
      </c>
      <c r="J13" s="115">
        <v>38967.99</v>
      </c>
      <c r="K13" s="138">
        <f t="shared" si="0"/>
        <v>2482624.02</v>
      </c>
      <c r="M13" s="147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</row>
    <row r="14" spans="1:27" ht="17.100000000000001" customHeight="1">
      <c r="A14" s="106"/>
      <c r="B14" s="114" t="s">
        <v>195</v>
      </c>
      <c r="C14" s="171">
        <v>0</v>
      </c>
      <c r="D14" s="171">
        <v>57607.77</v>
      </c>
      <c r="E14" s="171">
        <v>57349.7</v>
      </c>
      <c r="F14" s="171">
        <v>56759.4</v>
      </c>
      <c r="G14" s="171">
        <v>55805.13</v>
      </c>
      <c r="H14" s="171">
        <v>55252.6</v>
      </c>
      <c r="I14" s="115">
        <v>54884.88</v>
      </c>
      <c r="J14" s="115">
        <v>54487.12</v>
      </c>
      <c r="K14" s="138">
        <f t="shared" si="0"/>
        <v>392146.6</v>
      </c>
      <c r="L14" s="106"/>
      <c r="M14" s="147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</row>
    <row r="15" spans="1:27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15">
        <v>23811.51</v>
      </c>
      <c r="K15" s="138">
        <f t="shared" si="0"/>
        <v>23811.51</v>
      </c>
      <c r="L15" s="106"/>
      <c r="M15" s="147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</row>
    <row r="16" spans="1:27" ht="17.100000000000001" customHeight="1">
      <c r="A16" s="106"/>
      <c r="B16" s="114" t="s">
        <v>196</v>
      </c>
      <c r="C16" s="171">
        <v>12949.78</v>
      </c>
      <c r="D16" s="171">
        <v>12742.8</v>
      </c>
      <c r="E16" s="171">
        <v>12621.89</v>
      </c>
      <c r="F16" s="171">
        <v>12430.62</v>
      </c>
      <c r="G16" s="171">
        <v>12368.92</v>
      </c>
      <c r="H16" s="171">
        <v>11980.7</v>
      </c>
      <c r="I16" s="115">
        <v>11840.9</v>
      </c>
      <c r="J16" s="115">
        <v>11697.01</v>
      </c>
      <c r="K16" s="138">
        <f t="shared" si="0"/>
        <v>98632.62</v>
      </c>
      <c r="L16" s="106"/>
      <c r="M16" s="147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</row>
    <row r="17" spans="1:27" ht="17.100000000000001" customHeight="1">
      <c r="A17" s="106"/>
      <c r="B17" s="114" t="s">
        <v>197</v>
      </c>
      <c r="C17" s="171">
        <v>5398.8</v>
      </c>
      <c r="D17" s="171">
        <v>5312.52</v>
      </c>
      <c r="E17" s="171">
        <v>5262.12</v>
      </c>
      <c r="F17" s="171">
        <v>5182.37</v>
      </c>
      <c r="G17" s="171">
        <v>5156.6499999999996</v>
      </c>
      <c r="H17" s="171">
        <v>4994.8</v>
      </c>
      <c r="I17" s="115">
        <v>4936.5200000000004</v>
      </c>
      <c r="J17" s="115">
        <v>4876.53</v>
      </c>
      <c r="K17" s="138">
        <f t="shared" si="0"/>
        <v>41120.31</v>
      </c>
      <c r="L17" s="106"/>
      <c r="M17" s="147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</row>
    <row r="18" spans="1:27" ht="17.100000000000001" customHeight="1">
      <c r="A18" s="106"/>
      <c r="B18" s="114" t="s">
        <v>198</v>
      </c>
      <c r="C18" s="171">
        <v>18497.71</v>
      </c>
      <c r="D18" s="171">
        <v>18201.28</v>
      </c>
      <c r="E18" s="171">
        <v>18028.2</v>
      </c>
      <c r="F18" s="171">
        <v>17753.55</v>
      </c>
      <c r="G18" s="171">
        <v>17665.8</v>
      </c>
      <c r="H18" s="171">
        <v>17111.64</v>
      </c>
      <c r="I18" s="115">
        <v>17026.22</v>
      </c>
      <c r="J18" s="115">
        <v>16706.07</v>
      </c>
      <c r="K18" s="138">
        <f t="shared" si="0"/>
        <v>140990.47</v>
      </c>
      <c r="L18" s="106"/>
      <c r="M18" s="147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</row>
    <row r="19" spans="1:27" ht="17.100000000000001" customHeight="1">
      <c r="A19" s="106"/>
      <c r="B19" s="114" t="s">
        <v>178</v>
      </c>
      <c r="C19" s="171">
        <v>11242.71</v>
      </c>
      <c r="D19" s="171">
        <v>11242.71</v>
      </c>
      <c r="E19" s="171">
        <v>11242.71</v>
      </c>
      <c r="F19" s="171">
        <v>11242.71</v>
      </c>
      <c r="G19" s="171">
        <v>82684.009999999995</v>
      </c>
      <c r="H19" s="171">
        <v>11242.71</v>
      </c>
      <c r="I19" s="115">
        <v>0</v>
      </c>
      <c r="J19" s="115">
        <v>0</v>
      </c>
      <c r="K19" s="138">
        <f t="shared" si="0"/>
        <v>138897.56</v>
      </c>
      <c r="L19" s="106"/>
      <c r="M19" s="147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</row>
    <row r="20" spans="1:27" ht="17.100000000000001" customHeight="1">
      <c r="A20" s="106"/>
      <c r="B20" s="114" t="s">
        <v>192</v>
      </c>
      <c r="C20" s="171">
        <f>1168.12+1943.36</f>
        <v>3111.4799999999996</v>
      </c>
      <c r="D20" s="171">
        <f>1168.12+1943.36</f>
        <v>3111.4799999999996</v>
      </c>
      <c r="E20" s="171">
        <f>1168.12+1943.36</f>
        <v>3111.4799999999996</v>
      </c>
      <c r="F20" s="171">
        <f>(1168.12*2)+(1943.36*2)</f>
        <v>6222.9599999999991</v>
      </c>
      <c r="G20" s="171">
        <v>0</v>
      </c>
      <c r="H20" s="171">
        <v>15557.47</v>
      </c>
      <c r="I20" s="115">
        <v>1168.1199999999999</v>
      </c>
      <c r="J20" s="115">
        <v>3231.48</v>
      </c>
      <c r="K20" s="138">
        <f t="shared" si="0"/>
        <v>35514.469999999994</v>
      </c>
      <c r="L20" s="106"/>
      <c r="M20" s="147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</row>
    <row r="21" spans="1:27" s="112" customFormat="1" ht="15.75" customHeight="1">
      <c r="A21" s="111"/>
      <c r="B21" s="116" t="s">
        <v>9</v>
      </c>
      <c r="C21" s="117">
        <f t="shared" ref="C21:J21" si="1">SUM(C10:C20)</f>
        <v>1969205.79</v>
      </c>
      <c r="D21" s="117">
        <f t="shared" si="1"/>
        <v>1767061.9300000002</v>
      </c>
      <c r="E21" s="117">
        <f t="shared" si="1"/>
        <v>1477466.7599999998</v>
      </c>
      <c r="F21" s="117">
        <f t="shared" si="1"/>
        <v>1754892.1800000002</v>
      </c>
      <c r="G21" s="117">
        <f t="shared" si="1"/>
        <v>1041725.2900000002</v>
      </c>
      <c r="H21" s="117">
        <f t="shared" si="1"/>
        <v>2095021.2299999997</v>
      </c>
      <c r="I21" s="117">
        <f t="shared" si="1"/>
        <v>900889.62000000011</v>
      </c>
      <c r="J21" s="117">
        <f t="shared" si="1"/>
        <v>1203330.3100000003</v>
      </c>
      <c r="K21" s="117">
        <f>SUM(K10:K20)</f>
        <v>12209593.109999999</v>
      </c>
      <c r="L21" s="111"/>
      <c r="M21" s="146"/>
      <c r="N21" s="151"/>
      <c r="O21" s="15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</row>
    <row r="22" spans="1:27" ht="15.75" customHeight="1">
      <c r="A22" s="106"/>
      <c r="B22" s="106"/>
      <c r="C22" s="147"/>
      <c r="D22" s="106"/>
      <c r="E22" s="106"/>
      <c r="F22" s="106"/>
      <c r="G22" s="106"/>
      <c r="H22" s="106"/>
      <c r="I22" s="109"/>
      <c r="J22" s="109"/>
      <c r="K22" s="109"/>
      <c r="L22" s="106"/>
      <c r="M22" s="147" t="s">
        <v>118</v>
      </c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</row>
    <row r="23" spans="1:27" s="112" customFormat="1" ht="15.75" customHeight="1">
      <c r="A23" s="111"/>
      <c r="B23" s="289" t="s">
        <v>128</v>
      </c>
      <c r="C23" s="290"/>
      <c r="D23" s="290"/>
      <c r="E23" s="290"/>
      <c r="F23" s="290"/>
      <c r="G23" s="290"/>
      <c r="H23" s="290"/>
      <c r="I23" s="290"/>
      <c r="J23" s="290"/>
      <c r="K23" s="290"/>
      <c r="L23" s="111"/>
      <c r="M23" s="146"/>
      <c r="N23" s="151"/>
      <c r="O23" s="15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</row>
    <row r="24" spans="1:27" ht="15.75" customHeight="1">
      <c r="A24" s="106"/>
      <c r="B24" s="291"/>
      <c r="C24" s="292"/>
      <c r="D24" s="292"/>
      <c r="E24" s="292"/>
      <c r="F24" s="292"/>
      <c r="G24" s="292"/>
      <c r="H24" s="292"/>
      <c r="I24" s="292"/>
      <c r="J24" s="292"/>
      <c r="K24" s="292"/>
      <c r="L24" s="106"/>
      <c r="M24" s="147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</row>
    <row r="25" spans="1:27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06"/>
      <c r="M25" s="147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</row>
    <row r="26" spans="1:27" ht="17.100000000000001" customHeight="1">
      <c r="A26" s="106"/>
      <c r="B26" s="114" t="s">
        <v>172</v>
      </c>
      <c r="C26" s="179">
        <v>615746.06999999995</v>
      </c>
      <c r="D26" s="171">
        <v>617621.43000000005</v>
      </c>
      <c r="E26" s="179">
        <v>925293.45</v>
      </c>
      <c r="F26" s="179">
        <v>755023.19</v>
      </c>
      <c r="G26" s="179">
        <v>548127.35</v>
      </c>
      <c r="H26" s="179">
        <v>542075.24</v>
      </c>
      <c r="I26" s="189">
        <v>495470.49</v>
      </c>
      <c r="J26" s="115">
        <v>487626.13</v>
      </c>
      <c r="K26" s="115">
        <f>SUM(C26:J26)</f>
        <v>4986983.3500000006</v>
      </c>
      <c r="L26" s="106"/>
      <c r="M26" s="147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</row>
    <row r="27" spans="1:27" ht="17.100000000000001" customHeight="1">
      <c r="A27" s="106"/>
      <c r="B27" s="114" t="s">
        <v>150</v>
      </c>
      <c r="C27" s="179">
        <v>69264.009999999995</v>
      </c>
      <c r="D27" s="171">
        <v>64433.17</v>
      </c>
      <c r="E27" s="179">
        <v>97154.79</v>
      </c>
      <c r="F27" s="179">
        <v>67044.08</v>
      </c>
      <c r="G27" s="179">
        <v>64945.72</v>
      </c>
      <c r="H27" s="179">
        <v>64945.72</v>
      </c>
      <c r="I27" s="189">
        <v>63584.02</v>
      </c>
      <c r="J27" s="115">
        <v>65481.06</v>
      </c>
      <c r="K27" s="115">
        <f>SUM(C27:J27)</f>
        <v>556852.57000000007</v>
      </c>
      <c r="L27" s="106"/>
      <c r="M27" s="147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</row>
    <row r="28" spans="1:27" ht="17.100000000000001" customHeight="1">
      <c r="A28" s="106"/>
      <c r="B28" s="114" t="s">
        <v>171</v>
      </c>
      <c r="C28" s="191">
        <v>36658.53</v>
      </c>
      <c r="D28" s="191">
        <v>38537.58</v>
      </c>
      <c r="E28" s="191">
        <v>46269.5</v>
      </c>
      <c r="F28" s="191">
        <v>40256.519999999997</v>
      </c>
      <c r="G28" s="191">
        <v>27034.39</v>
      </c>
      <c r="H28" s="191">
        <v>24052.01</v>
      </c>
      <c r="I28" s="190">
        <v>21886.080000000002</v>
      </c>
      <c r="J28" s="119">
        <v>17676.18</v>
      </c>
      <c r="K28" s="115">
        <f>SUM(C28:J28)</f>
        <v>252370.79000000004</v>
      </c>
      <c r="L28" s="106"/>
      <c r="M28" s="147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</row>
    <row r="29" spans="1:27" ht="17.100000000000001" customHeight="1">
      <c r="A29" s="106"/>
      <c r="B29" s="114" t="s">
        <v>193</v>
      </c>
      <c r="C29" s="179">
        <f>1531.08</f>
        <v>1531.08</v>
      </c>
      <c r="D29" s="179">
        <v>1277.42</v>
      </c>
      <c r="E29" s="179">
        <f>1531.08</f>
        <v>1531.08</v>
      </c>
      <c r="F29" s="179">
        <v>16262.03</v>
      </c>
      <c r="G29" s="179">
        <v>0</v>
      </c>
      <c r="H29" s="179">
        <v>0</v>
      </c>
      <c r="I29" s="189">
        <v>0</v>
      </c>
      <c r="J29" s="115">
        <v>0</v>
      </c>
      <c r="K29" s="115">
        <f>SUM(C29:J29)</f>
        <v>20601.61</v>
      </c>
      <c r="L29" s="106"/>
      <c r="M29" s="147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</row>
    <row r="30" spans="1:27" ht="17.100000000000001" customHeight="1">
      <c r="A30" s="106"/>
      <c r="B30" s="114" t="s">
        <v>130</v>
      </c>
      <c r="C30" s="191">
        <v>76149.100000000006</v>
      </c>
      <c r="D30" s="172">
        <v>46552.78</v>
      </c>
      <c r="E30" s="191">
        <v>89171.65</v>
      </c>
      <c r="F30" s="191">
        <v>37362.04</v>
      </c>
      <c r="G30" s="191">
        <v>55560.09</v>
      </c>
      <c r="H30" s="191">
        <v>22252.83</v>
      </c>
      <c r="I30" s="190">
        <v>14595.13</v>
      </c>
      <c r="J30" s="119">
        <v>7086.12</v>
      </c>
      <c r="K30" s="115">
        <f>SUM(C30:J30)</f>
        <v>348729.74000000005</v>
      </c>
      <c r="L30" s="106"/>
      <c r="M30" s="147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</row>
    <row r="31" spans="1:27" s="112" customFormat="1" ht="17.100000000000001" customHeight="1">
      <c r="A31" s="111"/>
      <c r="B31" s="120" t="s">
        <v>84</v>
      </c>
      <c r="C31" s="121">
        <f t="shared" ref="C31:J31" si="2">SUM(C26:C30)</f>
        <v>799348.78999999992</v>
      </c>
      <c r="D31" s="121">
        <f t="shared" si="2"/>
        <v>768422.38000000012</v>
      </c>
      <c r="E31" s="121">
        <f t="shared" si="2"/>
        <v>1159420.47</v>
      </c>
      <c r="F31" s="121">
        <f t="shared" si="2"/>
        <v>915947.86</v>
      </c>
      <c r="G31" s="121">
        <f t="shared" si="2"/>
        <v>695667.54999999993</v>
      </c>
      <c r="H31" s="121">
        <f t="shared" si="2"/>
        <v>653325.79999999993</v>
      </c>
      <c r="I31" s="121">
        <f t="shared" si="2"/>
        <v>595535.72</v>
      </c>
      <c r="J31" s="121">
        <f t="shared" si="2"/>
        <v>577869.49</v>
      </c>
      <c r="K31" s="121">
        <f>SUM(K26:K30)</f>
        <v>6165538.0600000015</v>
      </c>
      <c r="L31" s="111"/>
      <c r="M31" s="146"/>
      <c r="N31" s="151"/>
      <c r="O31" s="15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</row>
    <row r="32" spans="1:27" s="112" customFormat="1" ht="17.100000000000001" customHeight="1">
      <c r="A32" s="111"/>
      <c r="B32" s="163" t="s">
        <v>14</v>
      </c>
      <c r="C32" s="164">
        <f>C21-C31</f>
        <v>1169857</v>
      </c>
      <c r="D32" s="164">
        <f>D21-D31</f>
        <v>998639.55</v>
      </c>
      <c r="E32" s="164">
        <f>E21-E31</f>
        <v>318046.2899999998</v>
      </c>
      <c r="F32" s="164">
        <f>F21-F31</f>
        <v>838944.32000000018</v>
      </c>
      <c r="G32" s="164">
        <f t="shared" ref="G32:J32" si="3">G21-G31</f>
        <v>346057.74000000022</v>
      </c>
      <c r="H32" s="164">
        <f t="shared" si="3"/>
        <v>1441695.4299999997</v>
      </c>
      <c r="I32" s="164">
        <f t="shared" si="3"/>
        <v>305353.90000000014</v>
      </c>
      <c r="J32" s="164">
        <f t="shared" si="3"/>
        <v>625460.8200000003</v>
      </c>
      <c r="K32" s="159">
        <f>K21-K31</f>
        <v>6044055.049999998</v>
      </c>
      <c r="L32" s="111"/>
      <c r="M32" s="146"/>
      <c r="N32" s="151"/>
      <c r="O32" s="15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</row>
    <row r="33" spans="1:27" ht="15.75" customHeight="1">
      <c r="A33" s="106"/>
      <c r="B33" s="106"/>
      <c r="C33" s="147"/>
      <c r="D33" s="106"/>
      <c r="E33" s="106"/>
      <c r="F33" s="106"/>
      <c r="G33" s="106"/>
      <c r="H33" s="106"/>
      <c r="I33" s="109"/>
      <c r="J33" s="109"/>
      <c r="K33" s="109"/>
      <c r="L33" s="106"/>
      <c r="M33" s="147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</row>
    <row r="34" spans="1:27" s="112" customFormat="1" ht="15.75" customHeight="1">
      <c r="A34" s="111"/>
      <c r="B34" s="307" t="s">
        <v>15</v>
      </c>
      <c r="C34" s="308"/>
      <c r="D34" s="308"/>
      <c r="E34" s="308"/>
      <c r="F34" s="308"/>
      <c r="G34" s="308"/>
      <c r="H34" s="308"/>
      <c r="I34" s="308"/>
      <c r="J34" s="308"/>
      <c r="K34" s="309"/>
      <c r="L34" s="111"/>
      <c r="M34" s="146"/>
      <c r="N34" s="151"/>
      <c r="O34" s="15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</row>
    <row r="35" spans="1:27" s="112" customFormat="1" ht="15.75" customHeight="1">
      <c r="A35" s="111"/>
      <c r="B35" s="289" t="s">
        <v>16</v>
      </c>
      <c r="C35" s="290"/>
      <c r="D35" s="290"/>
      <c r="E35" s="290"/>
      <c r="F35" s="290"/>
      <c r="G35" s="290"/>
      <c r="H35" s="290"/>
      <c r="I35" s="290"/>
      <c r="J35" s="290"/>
      <c r="K35" s="310"/>
      <c r="L35" s="111"/>
      <c r="M35" s="146"/>
      <c r="N35" s="151"/>
      <c r="O35" s="15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</row>
    <row r="36" spans="1:27" ht="15.75" customHeight="1">
      <c r="A36" s="106"/>
      <c r="B36" s="291"/>
      <c r="C36" s="292"/>
      <c r="D36" s="292"/>
      <c r="E36" s="292"/>
      <c r="F36" s="292"/>
      <c r="G36" s="292"/>
      <c r="H36" s="292"/>
      <c r="I36" s="292"/>
      <c r="J36" s="292"/>
      <c r="K36" s="311"/>
      <c r="L36" s="106"/>
      <c r="M36" s="147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</row>
    <row r="37" spans="1:27" ht="15.75" customHeight="1">
      <c r="A37" s="106"/>
      <c r="B37" s="153" t="s">
        <v>17</v>
      </c>
      <c r="C37" s="174"/>
      <c r="D37" s="165"/>
      <c r="E37" s="165"/>
      <c r="F37" s="165"/>
      <c r="G37" s="165"/>
      <c r="H37" s="165"/>
      <c r="I37" s="154"/>
      <c r="J37" s="154"/>
      <c r="K37" s="130" t="s">
        <v>2</v>
      </c>
      <c r="L37" s="147"/>
      <c r="M37" s="151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</row>
    <row r="38" spans="1:27" ht="15.75" customHeight="1">
      <c r="A38" s="106"/>
      <c r="B38" s="136" t="s">
        <v>180</v>
      </c>
      <c r="C38" s="175"/>
      <c r="D38" s="166"/>
      <c r="E38" s="166"/>
      <c r="F38" s="166"/>
      <c r="G38" s="166"/>
      <c r="H38" s="166"/>
      <c r="I38" s="155"/>
      <c r="J38" s="155"/>
      <c r="K38" s="161">
        <v>0</v>
      </c>
      <c r="L38" s="147"/>
      <c r="M38" s="151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</row>
    <row r="39" spans="1:27" ht="15.75" customHeight="1">
      <c r="A39" s="106"/>
      <c r="B39" s="136" t="s">
        <v>181</v>
      </c>
      <c r="C39" s="175"/>
      <c r="D39" s="166"/>
      <c r="E39" s="166"/>
      <c r="F39" s="166"/>
      <c r="G39" s="166"/>
      <c r="H39" s="166"/>
      <c r="I39" s="155"/>
      <c r="J39" s="155"/>
      <c r="K39" s="161">
        <v>0</v>
      </c>
      <c r="L39" s="147"/>
      <c r="M39" s="151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</row>
    <row r="40" spans="1:27" ht="15.75" customHeight="1">
      <c r="A40" s="106"/>
      <c r="B40" s="136" t="s">
        <v>132</v>
      </c>
      <c r="C40" s="175"/>
      <c r="D40" s="166"/>
      <c r="E40" s="166"/>
      <c r="F40" s="166"/>
      <c r="G40" s="166"/>
      <c r="H40" s="166"/>
      <c r="I40" s="155"/>
      <c r="J40" s="155"/>
      <c r="K40" s="161">
        <v>0</v>
      </c>
      <c r="L40" s="147"/>
      <c r="M40" s="151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</row>
    <row r="41" spans="1:27" ht="15.75" customHeight="1">
      <c r="A41" s="106"/>
      <c r="B41" s="136" t="s">
        <v>20</v>
      </c>
      <c r="C41" s="175"/>
      <c r="D41" s="166"/>
      <c r="E41" s="166"/>
      <c r="F41" s="166"/>
      <c r="G41" s="166"/>
      <c r="H41" s="166"/>
      <c r="I41" s="155"/>
      <c r="J41" s="155"/>
      <c r="K41" s="161">
        <v>217814.17</v>
      </c>
      <c r="L41" s="147"/>
      <c r="M41" s="151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</row>
    <row r="42" spans="1:27" ht="15.75" customHeight="1">
      <c r="A42" s="106"/>
      <c r="B42" s="136" t="s">
        <v>21</v>
      </c>
      <c r="C42" s="175"/>
      <c r="D42" s="166"/>
      <c r="E42" s="166"/>
      <c r="F42" s="166"/>
      <c r="G42" s="166"/>
      <c r="H42" s="166"/>
      <c r="I42" s="155"/>
      <c r="J42" s="155"/>
      <c r="K42" s="161">
        <v>12374.7</v>
      </c>
      <c r="L42" s="147"/>
      <c r="M42" s="151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</row>
    <row r="43" spans="1:27" ht="15.75" customHeight="1">
      <c r="A43" s="106"/>
      <c r="B43" s="136" t="s">
        <v>22</v>
      </c>
      <c r="C43" s="175"/>
      <c r="D43" s="166"/>
      <c r="E43" s="166"/>
      <c r="F43" s="166"/>
      <c r="G43" s="166"/>
      <c r="H43" s="166"/>
      <c r="I43" s="155"/>
      <c r="J43" s="155"/>
      <c r="K43" s="161">
        <v>159.81</v>
      </c>
      <c r="L43" s="147"/>
      <c r="M43" s="151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</row>
    <row r="44" spans="1:27" ht="15.75" customHeight="1">
      <c r="A44" s="106"/>
      <c r="B44" s="153" t="s">
        <v>23</v>
      </c>
      <c r="C44" s="174"/>
      <c r="D44" s="165"/>
      <c r="E44" s="165"/>
      <c r="F44" s="165"/>
      <c r="G44" s="165"/>
      <c r="H44" s="165"/>
      <c r="I44" s="154"/>
      <c r="J44" s="154"/>
      <c r="K44" s="160">
        <f>SUM(K38:K43)</f>
        <v>230348.68000000002</v>
      </c>
      <c r="L44" s="147"/>
      <c r="M44" s="151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</row>
    <row r="45" spans="1:27" ht="15.75" customHeight="1">
      <c r="A45" s="106"/>
      <c r="B45" s="157"/>
      <c r="C45" s="144"/>
      <c r="D45" s="106"/>
      <c r="E45" s="106"/>
      <c r="F45" s="106"/>
      <c r="G45" s="106"/>
      <c r="H45" s="106"/>
      <c r="I45" s="150"/>
      <c r="J45" s="150"/>
      <c r="K45" s="150"/>
      <c r="L45" s="147"/>
      <c r="M45" s="151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</row>
    <row r="46" spans="1:27" ht="15.75" customHeight="1">
      <c r="A46" s="106"/>
      <c r="B46" s="153" t="s">
        <v>24</v>
      </c>
      <c r="C46" s="174"/>
      <c r="D46" s="165"/>
      <c r="E46" s="165"/>
      <c r="F46" s="165"/>
      <c r="G46" s="165"/>
      <c r="H46" s="165"/>
      <c r="I46" s="154"/>
      <c r="J46" s="154"/>
      <c r="K46" s="130" t="s">
        <v>2</v>
      </c>
      <c r="L46" s="147"/>
      <c r="M46" s="151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</row>
    <row r="47" spans="1:27" ht="15.75" customHeight="1">
      <c r="A47" s="106"/>
      <c r="B47" s="136" t="s">
        <v>200</v>
      </c>
      <c r="C47" s="175"/>
      <c r="D47" s="166"/>
      <c r="E47" s="166"/>
      <c r="F47" s="166"/>
      <c r="G47" s="166"/>
      <c r="H47" s="166"/>
      <c r="I47" s="155"/>
      <c r="J47" s="155"/>
      <c r="K47" s="161">
        <v>10006913.43</v>
      </c>
      <c r="L47" s="148"/>
      <c r="M47" s="151"/>
      <c r="O47" s="108"/>
    </row>
    <row r="48" spans="1:27" ht="15.75" customHeight="1">
      <c r="A48" s="106"/>
      <c r="B48" s="136" t="s">
        <v>25</v>
      </c>
      <c r="C48" s="175"/>
      <c r="D48" s="166"/>
      <c r="E48" s="166"/>
      <c r="F48" s="166"/>
      <c r="G48" s="166"/>
      <c r="H48" s="166"/>
      <c r="I48" s="155"/>
      <c r="J48" s="155"/>
      <c r="K48" s="161">
        <v>35278243.729999997</v>
      </c>
      <c r="L48" s="148"/>
      <c r="M48" s="151"/>
      <c r="O48" s="108"/>
    </row>
    <row r="49" spans="2:15" ht="15.75" customHeight="1">
      <c r="B49" s="136" t="s">
        <v>26</v>
      </c>
      <c r="C49" s="175"/>
      <c r="D49" s="166"/>
      <c r="E49" s="166"/>
      <c r="F49" s="166"/>
      <c r="G49" s="166"/>
      <c r="H49" s="166"/>
      <c r="I49" s="155"/>
      <c r="J49" s="155"/>
      <c r="K49" s="161">
        <v>9741612.9000000004</v>
      </c>
      <c r="L49" s="148"/>
      <c r="M49" s="151"/>
      <c r="O49" s="108"/>
    </row>
    <row r="50" spans="2:15" ht="15.75" customHeight="1">
      <c r="B50" s="136" t="s">
        <v>131</v>
      </c>
      <c r="C50" s="175"/>
      <c r="D50" s="166"/>
      <c r="E50" s="166"/>
      <c r="F50" s="166"/>
      <c r="G50" s="166"/>
      <c r="H50" s="166"/>
      <c r="I50" s="155"/>
      <c r="J50" s="155"/>
      <c r="K50" s="161">
        <v>231928.43</v>
      </c>
      <c r="L50" s="148"/>
      <c r="M50" s="151"/>
      <c r="O50" s="108"/>
    </row>
    <row r="51" spans="2:15" ht="15.75" customHeight="1">
      <c r="B51" s="153" t="s">
        <v>28</v>
      </c>
      <c r="C51" s="174"/>
      <c r="D51" s="165"/>
      <c r="E51" s="165"/>
      <c r="F51" s="165"/>
      <c r="G51" s="165"/>
      <c r="H51" s="165"/>
      <c r="I51" s="154"/>
      <c r="J51" s="154"/>
      <c r="K51" s="160">
        <f>SUM(K47:K50)-K44</f>
        <v>55028349.809999995</v>
      </c>
      <c r="L51" s="148"/>
      <c r="M51" s="151"/>
      <c r="O51" s="108"/>
    </row>
    <row r="52" spans="2:15" ht="15.75" customHeight="1">
      <c r="B52" s="158"/>
      <c r="C52" s="176"/>
      <c r="D52" s="131"/>
      <c r="E52" s="131"/>
      <c r="F52" s="131"/>
      <c r="G52" s="131"/>
      <c r="H52" s="131"/>
      <c r="I52" s="132"/>
      <c r="J52" s="132"/>
      <c r="K52" s="155"/>
      <c r="L52" s="148"/>
      <c r="M52" s="151"/>
      <c r="O52" s="108"/>
    </row>
    <row r="53" spans="2:15" ht="15.75" customHeight="1">
      <c r="B53" s="133" t="s">
        <v>29</v>
      </c>
      <c r="C53" s="177"/>
      <c r="D53" s="167"/>
      <c r="E53" s="167"/>
      <c r="F53" s="167"/>
      <c r="G53" s="167"/>
      <c r="H53" s="167"/>
      <c r="I53" s="156"/>
      <c r="J53" s="156"/>
      <c r="K53" s="162">
        <f>K51+K44</f>
        <v>55258698.489999995</v>
      </c>
      <c r="L53" s="148"/>
      <c r="M53" s="151"/>
      <c r="O53" s="108"/>
    </row>
    <row r="54" spans="2:15" ht="15.75" customHeight="1">
      <c r="B54" s="106"/>
      <c r="C54" s="147"/>
      <c r="D54" s="106"/>
      <c r="E54" s="106"/>
      <c r="F54" s="106"/>
      <c r="G54" s="106"/>
      <c r="H54" s="106"/>
      <c r="I54" s="109"/>
      <c r="J54" s="109"/>
      <c r="K54" s="109"/>
    </row>
    <row r="55" spans="2:15" ht="15.75" customHeight="1">
      <c r="B55" s="106"/>
      <c r="C55" s="147"/>
      <c r="D55" s="106"/>
      <c r="E55" s="106"/>
      <c r="F55" s="106"/>
      <c r="G55" s="106"/>
      <c r="H55" s="106"/>
      <c r="I55" s="109"/>
      <c r="J55" s="109"/>
      <c r="K55" s="109"/>
    </row>
    <row r="56" spans="2:15" ht="15.75" customHeight="1">
      <c r="B56" s="106"/>
      <c r="C56" s="147"/>
      <c r="D56" s="106"/>
      <c r="E56" s="106"/>
      <c r="F56" s="106"/>
      <c r="G56" s="106"/>
      <c r="H56" s="106"/>
      <c r="I56" s="109"/>
      <c r="J56" s="109"/>
      <c r="K56" s="109"/>
    </row>
    <row r="57" spans="2:15" ht="15.75" customHeight="1">
      <c r="B57" s="106"/>
      <c r="C57" s="147"/>
      <c r="D57" s="106"/>
      <c r="E57" s="106"/>
      <c r="F57" s="106"/>
      <c r="G57" s="106"/>
      <c r="H57" s="106"/>
      <c r="I57" s="109"/>
      <c r="J57" s="109"/>
      <c r="K57" s="109"/>
    </row>
    <row r="58" spans="2:15" ht="15.75" customHeight="1">
      <c r="B58" s="106"/>
      <c r="C58" s="147"/>
      <c r="D58" s="106"/>
      <c r="E58" s="106"/>
      <c r="F58" s="106"/>
      <c r="G58" s="106"/>
      <c r="H58" s="106"/>
      <c r="I58" s="109"/>
      <c r="J58" s="109"/>
      <c r="K58" s="109"/>
    </row>
    <row r="59" spans="2:15" ht="15.75" customHeight="1">
      <c r="B59" s="106"/>
      <c r="C59" s="144"/>
      <c r="D59" s="106"/>
      <c r="E59" s="106"/>
      <c r="F59" s="106"/>
      <c r="G59" s="106"/>
      <c r="H59" s="106"/>
      <c r="I59" s="106"/>
      <c r="J59" s="106"/>
    </row>
    <row r="60" spans="2:15" ht="15.75" customHeight="1">
      <c r="B60" s="106"/>
      <c r="C60" s="144"/>
      <c r="D60" s="106"/>
      <c r="E60" s="106"/>
      <c r="F60" s="106"/>
      <c r="G60" s="106"/>
      <c r="H60" s="106"/>
      <c r="I60" s="106"/>
      <c r="J60" s="106"/>
    </row>
    <row r="61" spans="2:15" ht="15.75" customHeight="1">
      <c r="B61" s="106"/>
      <c r="C61" s="144"/>
      <c r="D61" s="106"/>
      <c r="E61" s="106"/>
      <c r="F61" s="106"/>
      <c r="G61" s="106"/>
      <c r="H61" s="106"/>
      <c r="I61" s="106"/>
      <c r="J61" s="106"/>
    </row>
  </sheetData>
  <mergeCells count="5">
    <mergeCell ref="B3:K3"/>
    <mergeCell ref="B7:K8"/>
    <mergeCell ref="B23:K24"/>
    <mergeCell ref="B34:K34"/>
    <mergeCell ref="B35:K36"/>
  </mergeCells>
  <pageMargins left="0.25" right="0.25" top="0.75" bottom="0.75" header="0.3" footer="0.3"/>
  <pageSetup paperSize="9" scale="33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T160"/>
  <sheetViews>
    <sheetView workbookViewId="0"/>
  </sheetViews>
  <sheetFormatPr defaultRowHeight="15.75" customHeight="1"/>
  <cols>
    <col min="1" max="1" width="1.42578125" customWidth="1"/>
    <col min="2" max="2" width="60.5703125" style="76" customWidth="1"/>
    <col min="3" max="3" width="15.140625" style="77" customWidth="1"/>
    <col min="4" max="4" width="13.42578125" style="77" customWidth="1"/>
    <col min="5" max="20" width="9.5703125" style="1" customWidth="1"/>
    <col min="21" max="1024" width="9.42578125" customWidth="1"/>
  </cols>
  <sheetData>
    <row r="1" spans="1:20" ht="15.75" customHeight="1">
      <c r="A1" s="1"/>
      <c r="B1" s="43"/>
      <c r="C1" s="44"/>
      <c r="D1" s="45"/>
    </row>
    <row r="2" spans="1:20" ht="15.75" customHeight="1">
      <c r="A2" s="1"/>
      <c r="B2" s="46"/>
      <c r="C2" s="47"/>
      <c r="D2" s="48"/>
    </row>
    <row r="3" spans="1:20" ht="15.75" customHeight="1">
      <c r="A3" s="1"/>
      <c r="B3" s="46"/>
      <c r="C3" s="47"/>
      <c r="D3" s="48"/>
    </row>
    <row r="4" spans="1:20" ht="15.75" customHeight="1">
      <c r="A4" s="1"/>
      <c r="B4" s="46"/>
      <c r="C4" s="47"/>
      <c r="D4" s="48"/>
    </row>
    <row r="5" spans="1:20" ht="15.75" customHeight="1">
      <c r="A5" s="1"/>
      <c r="B5" s="49"/>
      <c r="C5" s="50"/>
      <c r="D5" s="51"/>
    </row>
    <row r="6" spans="1:20" s="20" customFormat="1" ht="24.95" customHeight="1">
      <c r="A6" s="19"/>
      <c r="B6" s="278" t="s">
        <v>0</v>
      </c>
      <c r="C6" s="278"/>
      <c r="D6" s="27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3" customFormat="1" ht="15.75" customHeight="1">
      <c r="A7" s="21"/>
      <c r="B7" s="279" t="s">
        <v>1</v>
      </c>
      <c r="C7" s="52" t="s">
        <v>44</v>
      </c>
      <c r="D7" s="53" t="s">
        <v>45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spans="1:20" ht="15.75" customHeight="1">
      <c r="A8" s="1"/>
      <c r="B8" s="279"/>
      <c r="C8" s="53" t="s">
        <v>2</v>
      </c>
      <c r="D8" s="53" t="s">
        <v>2</v>
      </c>
    </row>
    <row r="9" spans="1:20" s="6" customFormat="1" ht="17.100000000000001" customHeight="1">
      <c r="A9" s="5"/>
      <c r="B9" s="54" t="s">
        <v>3</v>
      </c>
      <c r="C9" s="24">
        <f>2865.55+13025.22+228922.64+2084.84+128300.06+84032.98+216603.29+230278.8+230454.26+5103.95</f>
        <v>1141671.5899999999</v>
      </c>
      <c r="D9" s="55">
        <f>3708.94+12807.11+229663.53+82460.16+126776.71+4258.15+2084.84+5994.43+5840.53+974.08+2299.66</f>
        <v>476868.14000000007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s="6" customFormat="1" ht="17.100000000000001" customHeight="1">
      <c r="A10" s="5"/>
      <c r="B10" s="54" t="s">
        <v>4</v>
      </c>
      <c r="C10" s="55">
        <f>3150.25+8505.16+145678.01+81645.35+53475.53+3247.98</f>
        <v>295702.28000000003</v>
      </c>
      <c r="D10" s="55">
        <f>3686.95+8149.98+146149.45+80675.97+52474.67+2709.75+146652.65+27.48+2688.12+619.87+47767.29+80288.48</f>
        <v>571890.66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s="6" customFormat="1" ht="17.100000000000001" customHeight="1">
      <c r="A11" s="5"/>
      <c r="B11" s="54" t="s">
        <v>5</v>
      </c>
      <c r="C11" s="55">
        <v>110551.48</v>
      </c>
      <c r="D11" s="55">
        <f>C11*3</f>
        <v>331654.44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s="6" customFormat="1" ht="17.100000000000001" customHeight="1">
      <c r="A12" s="5"/>
      <c r="B12" s="54" t="s">
        <v>6</v>
      </c>
      <c r="C12" s="55">
        <f>-83109.26+9149.53+123935.1+13411.06</f>
        <v>63386.430000000008</v>
      </c>
      <c r="D12" s="55">
        <f>-229103.77-376056.58</f>
        <v>-605160.35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s="6" customFormat="1" ht="17.100000000000001" customHeight="1">
      <c r="A13" s="5"/>
      <c r="B13" s="54" t="s">
        <v>46</v>
      </c>
      <c r="C13" s="55">
        <v>49959.32</v>
      </c>
      <c r="D13" s="55">
        <f>49824.79+49107.82</f>
        <v>98932.61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s="6" customFormat="1" ht="17.100000000000001" customHeight="1">
      <c r="A14" s="5"/>
      <c r="B14" s="54" t="s">
        <v>47</v>
      </c>
      <c r="C14" s="55">
        <v>20938.599999999999</v>
      </c>
      <c r="D14" s="55">
        <f>20609.15+20213.01</f>
        <v>40822.160000000003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s="6" customFormat="1" ht="17.100000000000001" customHeight="1">
      <c r="A15" s="5"/>
      <c r="B15" s="54" t="s">
        <v>48</v>
      </c>
      <c r="C15" s="55">
        <v>10286.799999999999</v>
      </c>
      <c r="D15" s="55">
        <f>10125.34+9929.92</f>
        <v>20055.260000000002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s="6" customFormat="1" ht="17.100000000000001" customHeight="1">
      <c r="A16" s="5"/>
      <c r="B16" s="54" t="s">
        <v>49</v>
      </c>
      <c r="C16" s="55">
        <v>4288.6099999999997</v>
      </c>
      <c r="D16" s="55">
        <f>4221.3+4139.82</f>
        <v>8361.119999999999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s="6" customFormat="1" ht="17.100000000000001" customHeight="1">
      <c r="A17" s="5"/>
      <c r="B17" s="54" t="s">
        <v>7</v>
      </c>
      <c r="C17" s="55">
        <v>11365.55</v>
      </c>
      <c r="D17" s="55">
        <f>9678.54+D27</f>
        <v>11997.84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s="6" customFormat="1" ht="17.100000000000001" customHeight="1">
      <c r="A18" s="5"/>
      <c r="B18" s="54" t="s">
        <v>8</v>
      </c>
      <c r="C18" s="55">
        <v>0</v>
      </c>
      <c r="D18" s="55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s="23" customFormat="1" ht="15.75" customHeight="1">
      <c r="A19" s="21"/>
      <c r="B19" s="56" t="s">
        <v>9</v>
      </c>
      <c r="C19" s="57">
        <f>SUM(C9:C18)</f>
        <v>1708150.6600000001</v>
      </c>
      <c r="D19" s="57">
        <f>SUM(D9:D18)</f>
        <v>955421.88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15.75" customHeight="1">
      <c r="A20" s="1"/>
      <c r="B20" s="58"/>
      <c r="C20" s="47"/>
      <c r="D20" s="47"/>
    </row>
    <row r="21" spans="1:20" s="23" customFormat="1" ht="15.75" customHeight="1">
      <c r="A21" s="21"/>
      <c r="B21" s="279" t="s">
        <v>10</v>
      </c>
      <c r="C21" s="280" t="s">
        <v>44</v>
      </c>
      <c r="D21" s="281" t="str">
        <f>D7</f>
        <v>JAN E FEV 2021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5.75" customHeight="1">
      <c r="A22" s="1"/>
      <c r="B22" s="279"/>
      <c r="C22" s="280"/>
      <c r="D22" s="281"/>
    </row>
    <row r="23" spans="1:20" s="6" customFormat="1" ht="17.100000000000001" customHeight="1">
      <c r="A23" s="5"/>
      <c r="B23" s="61" t="s">
        <v>11</v>
      </c>
      <c r="C23" s="61" t="s">
        <v>2</v>
      </c>
      <c r="D23" s="61" t="s">
        <v>2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s="6" customFormat="1" ht="17.100000000000001" customHeight="1">
      <c r="A24" s="5"/>
      <c r="B24" s="54" t="s">
        <v>50</v>
      </c>
      <c r="C24" s="55">
        <v>422523.74</v>
      </c>
      <c r="D24" s="62">
        <f>1209252.91-C24</f>
        <v>786729.16999999993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s="6" customFormat="1" ht="17.100000000000001" customHeight="1">
      <c r="A25" s="5"/>
      <c r="B25" s="54" t="s">
        <v>39</v>
      </c>
      <c r="C25" s="55">
        <v>55988.09</v>
      </c>
      <c r="D25" s="62">
        <f>167350.35-C25</f>
        <v>111362.26000000001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s="6" customFormat="1" ht="17.100000000000001" customHeight="1">
      <c r="A26" s="5"/>
      <c r="B26" s="54" t="s">
        <v>40</v>
      </c>
      <c r="C26" s="63">
        <v>21959.439999999999</v>
      </c>
      <c r="D26" s="62">
        <f>82600.52-C26</f>
        <v>60641.08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s="6" customFormat="1" ht="15">
      <c r="A27" s="5"/>
      <c r="B27" s="54" t="s">
        <v>13</v>
      </c>
      <c r="C27" s="55">
        <v>1159.6500000000001</v>
      </c>
      <c r="D27" s="62">
        <f>1159.65*2</f>
        <v>2319.3000000000002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s="6" customFormat="1" ht="17.100000000000001" customHeight="1">
      <c r="A28" s="5"/>
      <c r="B28" s="54" t="s">
        <v>41</v>
      </c>
      <c r="C28" s="63">
        <f>520002.48-C26-C25-C24</f>
        <v>19531.209999999963</v>
      </c>
      <c r="D28" s="62">
        <f>(1515449.58-520002.48)-D24-D25-D26</f>
        <v>36714.590000000157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s="23" customFormat="1" ht="17.100000000000001" customHeight="1">
      <c r="A29" s="21"/>
      <c r="B29" s="64" t="s">
        <v>9</v>
      </c>
      <c r="C29" s="65">
        <f>SUM(C24:C28)</f>
        <v>521162.12999999995</v>
      </c>
      <c r="D29" s="65">
        <f>SUM(D24:D28)</f>
        <v>997766.40000000014</v>
      </c>
      <c r="E29" s="32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s="23" customFormat="1" ht="17.100000000000001" customHeight="1">
      <c r="A30" s="21"/>
      <c r="B30" s="66" t="s">
        <v>14</v>
      </c>
      <c r="C30" s="67">
        <f>C19-C29</f>
        <v>1186988.5300000003</v>
      </c>
      <c r="D30" s="68">
        <f>D19-D29</f>
        <v>-42344.520000000135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 ht="15.75" customHeight="1">
      <c r="A31" s="1"/>
      <c r="B31" s="58"/>
      <c r="C31" s="47"/>
      <c r="D31" s="47"/>
    </row>
    <row r="32" spans="1:20" s="23" customFormat="1" ht="15.75" customHeight="1">
      <c r="A32" s="21"/>
      <c r="B32" s="69" t="s">
        <v>15</v>
      </c>
      <c r="C32" s="70"/>
      <c r="D32" s="7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s="23" customFormat="1" ht="15.75" customHeight="1">
      <c r="A33" s="21"/>
      <c r="B33" s="279" t="s">
        <v>16</v>
      </c>
      <c r="C33" s="281" t="s">
        <v>44</v>
      </c>
      <c r="D33" s="7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5.75" customHeight="1">
      <c r="A34" s="1"/>
      <c r="B34" s="279"/>
      <c r="C34" s="281"/>
      <c r="D34" s="47"/>
    </row>
    <row r="35" spans="1:20" ht="15.75" customHeight="1">
      <c r="A35" s="1"/>
      <c r="B35" s="72" t="s">
        <v>17</v>
      </c>
      <c r="C35" s="73" t="s">
        <v>2</v>
      </c>
      <c r="D35" s="47"/>
    </row>
    <row r="36" spans="1:20" ht="15.75" customHeight="1">
      <c r="A36" s="1"/>
      <c r="B36" s="54" t="s">
        <v>18</v>
      </c>
      <c r="C36" s="55">
        <v>0</v>
      </c>
      <c r="D36" s="47"/>
    </row>
    <row r="37" spans="1:20" ht="15.75" customHeight="1">
      <c r="A37" s="1"/>
      <c r="B37" s="54" t="s">
        <v>19</v>
      </c>
      <c r="C37" s="55">
        <v>0</v>
      </c>
      <c r="D37" s="47"/>
    </row>
    <row r="38" spans="1:20" ht="15.75" customHeight="1">
      <c r="A38" s="1"/>
      <c r="B38" s="54" t="s">
        <v>20</v>
      </c>
      <c r="C38" s="55">
        <v>304.02999999999997</v>
      </c>
      <c r="D38" s="47"/>
    </row>
    <row r="39" spans="1:20" ht="15.75" customHeight="1">
      <c r="A39" s="1"/>
      <c r="B39" s="54" t="s">
        <v>21</v>
      </c>
      <c r="C39" s="55">
        <v>46864.959999999999</v>
      </c>
      <c r="D39" s="47"/>
    </row>
    <row r="40" spans="1:20" ht="15.75" customHeight="1">
      <c r="A40" s="1"/>
      <c r="B40" s="54" t="s">
        <v>22</v>
      </c>
      <c r="C40" s="55">
        <v>414.82</v>
      </c>
      <c r="D40" s="47"/>
    </row>
    <row r="41" spans="1:20" ht="15.75" customHeight="1">
      <c r="A41" s="1"/>
      <c r="B41" s="61" t="s">
        <v>23</v>
      </c>
      <c r="C41" s="74">
        <f>SUM(C36:C40)</f>
        <v>47583.81</v>
      </c>
      <c r="D41" s="47"/>
    </row>
    <row r="42" spans="1:20" ht="15.75" customHeight="1">
      <c r="A42" s="1"/>
      <c r="B42" s="58"/>
      <c r="C42" s="47"/>
      <c r="D42" s="47"/>
    </row>
    <row r="43" spans="1:20" ht="15.75" customHeight="1">
      <c r="A43" s="1"/>
      <c r="B43" s="61" t="s">
        <v>24</v>
      </c>
      <c r="C43" s="75" t="s">
        <v>2</v>
      </c>
      <c r="D43" s="47"/>
    </row>
    <row r="44" spans="1:20" ht="15.75" customHeight="1">
      <c r="A44" s="1"/>
      <c r="B44" s="54" t="s">
        <v>25</v>
      </c>
      <c r="C44" s="55">
        <v>33178189.510000002</v>
      </c>
      <c r="D44" s="47"/>
    </row>
    <row r="45" spans="1:20" ht="15.75" customHeight="1">
      <c r="A45" s="1"/>
      <c r="B45" s="54" t="s">
        <v>26</v>
      </c>
      <c r="C45" s="55">
        <v>9482876.0199999996</v>
      </c>
      <c r="D45" s="47"/>
    </row>
    <row r="46" spans="1:20" ht="15.75" customHeight="1">
      <c r="A46" s="1"/>
      <c r="B46" s="54" t="s">
        <v>27</v>
      </c>
      <c r="C46" s="55">
        <v>5325.81</v>
      </c>
      <c r="D46" s="47"/>
    </row>
    <row r="47" spans="1:20" ht="15.75" customHeight="1">
      <c r="A47" s="1"/>
      <c r="B47" s="61" t="s">
        <v>28</v>
      </c>
      <c r="C47" s="74">
        <f>SUM(C44:C46)</f>
        <v>42666391.340000004</v>
      </c>
      <c r="D47" s="47"/>
    </row>
    <row r="48" spans="1:20" ht="15.75" customHeight="1">
      <c r="A48" s="1"/>
      <c r="D48" s="47"/>
    </row>
    <row r="49" spans="1:4" ht="15.75" customHeight="1">
      <c r="A49" s="1"/>
      <c r="B49" s="78" t="s">
        <v>29</v>
      </c>
      <c r="C49" s="79">
        <f>C47+C41</f>
        <v>42713975.150000006</v>
      </c>
      <c r="D49" s="47"/>
    </row>
    <row r="50" spans="1:4" ht="15.75" customHeight="1">
      <c r="A50" s="1"/>
      <c r="B50" s="58"/>
      <c r="C50" s="47"/>
      <c r="D50" s="47"/>
    </row>
    <row r="51" spans="1:4" ht="15.75" customHeight="1">
      <c r="A51" s="1"/>
      <c r="B51" s="58"/>
      <c r="C51" s="47"/>
      <c r="D51" s="47"/>
    </row>
    <row r="52" spans="1:4" ht="15.75" customHeight="1">
      <c r="A52" s="1"/>
      <c r="B52" s="58"/>
      <c r="C52" s="47"/>
      <c r="D52" s="47"/>
    </row>
    <row r="53" spans="1:4" ht="15.75" customHeight="1">
      <c r="A53" s="1"/>
      <c r="B53" s="58"/>
      <c r="C53" s="47"/>
      <c r="D53" s="47"/>
    </row>
    <row r="54" spans="1:4" ht="15.75" customHeight="1">
      <c r="A54" s="1"/>
      <c r="B54" s="58"/>
      <c r="C54" s="47"/>
      <c r="D54" s="47"/>
    </row>
    <row r="55" spans="1:4" ht="15.75" customHeight="1">
      <c r="A55" s="1"/>
      <c r="B55" s="277" t="s">
        <v>30</v>
      </c>
      <c r="C55" s="277"/>
      <c r="D55" s="47"/>
    </row>
    <row r="56" spans="1:4" ht="15.75" customHeight="1">
      <c r="A56" s="1"/>
      <c r="B56" s="277" t="s">
        <v>42</v>
      </c>
      <c r="C56" s="277"/>
      <c r="D56" s="47"/>
    </row>
    <row r="57" spans="1:4" ht="15.75" customHeight="1">
      <c r="A57" s="1"/>
      <c r="B57" s="277" t="s">
        <v>43</v>
      </c>
      <c r="C57" s="277"/>
      <c r="D57" s="47"/>
    </row>
    <row r="58" spans="1:4" ht="15.75" customHeight="1">
      <c r="A58" s="1"/>
      <c r="B58" s="58"/>
      <c r="C58" s="47"/>
      <c r="D58" s="47"/>
    </row>
    <row r="59" spans="1:4" ht="15.75" customHeight="1">
      <c r="A59" s="1"/>
      <c r="B59" s="58"/>
      <c r="C59" s="47"/>
      <c r="D59" s="47"/>
    </row>
    <row r="60" spans="1:4" ht="15.75" customHeight="1">
      <c r="A60" s="1"/>
      <c r="B60" s="58"/>
      <c r="C60" s="47"/>
      <c r="D60" s="47"/>
    </row>
    <row r="61" spans="1:4" ht="15.75" customHeight="1">
      <c r="A61" s="1"/>
      <c r="B61" s="58"/>
      <c r="C61" s="47"/>
      <c r="D61" s="47"/>
    </row>
    <row r="62" spans="1:4" s="1" customFormat="1" ht="15.75" customHeight="1">
      <c r="B62" s="58"/>
      <c r="C62" s="47"/>
      <c r="D62" s="47"/>
    </row>
    <row r="63" spans="1:4" s="1" customFormat="1" ht="15.75" customHeight="1">
      <c r="B63" s="58"/>
      <c r="C63" s="47"/>
      <c r="D63" s="47"/>
    </row>
    <row r="64" spans="1:4" s="1" customFormat="1" ht="15.75" customHeight="1">
      <c r="B64" s="58"/>
      <c r="C64" s="47"/>
      <c r="D64" s="47"/>
    </row>
    <row r="65" spans="2:4" s="1" customFormat="1" ht="15.75" customHeight="1">
      <c r="B65" s="58"/>
      <c r="C65" s="47"/>
      <c r="D65" s="47"/>
    </row>
    <row r="66" spans="2:4" s="1" customFormat="1" ht="15.75" customHeight="1">
      <c r="B66" s="58"/>
      <c r="C66" s="47"/>
      <c r="D66" s="47"/>
    </row>
    <row r="67" spans="2:4" s="1" customFormat="1" ht="15.75" customHeight="1">
      <c r="B67" s="58"/>
      <c r="C67" s="47"/>
      <c r="D67" s="47"/>
    </row>
    <row r="68" spans="2:4" s="1" customFormat="1" ht="15.75" customHeight="1">
      <c r="B68" s="58"/>
      <c r="C68" s="47"/>
      <c r="D68" s="47"/>
    </row>
    <row r="69" spans="2:4" s="1" customFormat="1" ht="15.75" customHeight="1">
      <c r="B69" s="58"/>
      <c r="C69" s="47"/>
      <c r="D69" s="47"/>
    </row>
    <row r="70" spans="2:4" s="1" customFormat="1" ht="15.75" customHeight="1">
      <c r="B70" s="58"/>
      <c r="C70" s="47"/>
      <c r="D70" s="47"/>
    </row>
    <row r="71" spans="2:4" s="1" customFormat="1" ht="15.75" customHeight="1">
      <c r="B71" s="58"/>
      <c r="C71" s="47"/>
      <c r="D71" s="47"/>
    </row>
    <row r="72" spans="2:4" s="1" customFormat="1" ht="15.75" customHeight="1">
      <c r="B72" s="58"/>
      <c r="C72" s="47"/>
      <c r="D72" s="47"/>
    </row>
    <row r="73" spans="2:4" s="1" customFormat="1" ht="15.75" customHeight="1">
      <c r="B73" s="58"/>
      <c r="C73" s="47"/>
      <c r="D73" s="47"/>
    </row>
    <row r="74" spans="2:4" s="1" customFormat="1" ht="15.75" customHeight="1">
      <c r="B74" s="58"/>
      <c r="C74" s="47"/>
      <c r="D74" s="47"/>
    </row>
    <row r="75" spans="2:4" s="1" customFormat="1" ht="15.75" customHeight="1">
      <c r="B75" s="58"/>
      <c r="C75" s="47"/>
      <c r="D75" s="47"/>
    </row>
    <row r="76" spans="2:4" s="1" customFormat="1" ht="15.75" customHeight="1">
      <c r="B76" s="58"/>
      <c r="C76" s="47"/>
      <c r="D76" s="47"/>
    </row>
    <row r="77" spans="2:4" s="1" customFormat="1" ht="15.75" customHeight="1">
      <c r="B77" s="58"/>
      <c r="C77" s="47"/>
      <c r="D77" s="47"/>
    </row>
    <row r="78" spans="2:4" s="1" customFormat="1" ht="15.75" customHeight="1">
      <c r="B78" s="58"/>
      <c r="C78" s="47"/>
      <c r="D78" s="47"/>
    </row>
    <row r="79" spans="2:4" s="1" customFormat="1" ht="15.75" customHeight="1">
      <c r="B79" s="58"/>
      <c r="C79" s="47"/>
      <c r="D79" s="47"/>
    </row>
    <row r="80" spans="2:4" s="1" customFormat="1" ht="15.75" customHeight="1">
      <c r="B80" s="58"/>
      <c r="C80" s="47"/>
      <c r="D80" s="47"/>
    </row>
    <row r="81" spans="2:4" s="1" customFormat="1" ht="15.75" customHeight="1">
      <c r="B81" s="58"/>
      <c r="C81" s="47"/>
      <c r="D81" s="47"/>
    </row>
    <row r="82" spans="2:4" s="1" customFormat="1" ht="15.75" customHeight="1">
      <c r="B82" s="58"/>
      <c r="C82" s="47"/>
      <c r="D82" s="47"/>
    </row>
    <row r="83" spans="2:4" s="1" customFormat="1" ht="15.75" customHeight="1">
      <c r="B83" s="58"/>
      <c r="C83" s="47"/>
      <c r="D83" s="47"/>
    </row>
    <row r="84" spans="2:4" s="1" customFormat="1" ht="15.75" customHeight="1">
      <c r="B84" s="58"/>
      <c r="C84" s="47"/>
      <c r="D84" s="47"/>
    </row>
    <row r="85" spans="2:4" s="1" customFormat="1" ht="15.75" customHeight="1">
      <c r="B85" s="58"/>
      <c r="C85" s="47"/>
      <c r="D85" s="47"/>
    </row>
    <row r="86" spans="2:4" s="1" customFormat="1" ht="15.75" customHeight="1">
      <c r="B86" s="58"/>
      <c r="C86" s="47"/>
      <c r="D86" s="47"/>
    </row>
    <row r="87" spans="2:4" s="1" customFormat="1" ht="15.75" customHeight="1">
      <c r="B87" s="58"/>
      <c r="C87" s="47"/>
      <c r="D87" s="47"/>
    </row>
    <row r="88" spans="2:4" s="1" customFormat="1" ht="15.75" customHeight="1">
      <c r="B88" s="58"/>
      <c r="C88" s="47"/>
      <c r="D88" s="47"/>
    </row>
    <row r="89" spans="2:4" s="1" customFormat="1" ht="15.75" customHeight="1">
      <c r="B89" s="58"/>
      <c r="C89" s="47"/>
      <c r="D89" s="47"/>
    </row>
    <row r="90" spans="2:4" s="1" customFormat="1" ht="15.75" customHeight="1">
      <c r="B90" s="58"/>
      <c r="C90" s="47"/>
      <c r="D90" s="47"/>
    </row>
    <row r="91" spans="2:4" s="1" customFormat="1" ht="15.75" customHeight="1">
      <c r="B91" s="58"/>
      <c r="C91" s="47"/>
      <c r="D91" s="47"/>
    </row>
    <row r="92" spans="2:4" s="1" customFormat="1" ht="15.75" customHeight="1">
      <c r="B92" s="58"/>
      <c r="C92" s="47"/>
      <c r="D92" s="47"/>
    </row>
    <row r="93" spans="2:4" s="1" customFormat="1" ht="15.75" customHeight="1">
      <c r="B93" s="58"/>
      <c r="C93" s="47"/>
      <c r="D93" s="47"/>
    </row>
    <row r="94" spans="2:4" s="1" customFormat="1" ht="15.75" customHeight="1">
      <c r="B94" s="58"/>
      <c r="C94" s="47"/>
      <c r="D94" s="47"/>
    </row>
    <row r="95" spans="2:4" s="1" customFormat="1" ht="15.75" customHeight="1">
      <c r="B95" s="58"/>
      <c r="C95" s="47"/>
      <c r="D95" s="47"/>
    </row>
    <row r="96" spans="2:4" s="1" customFormat="1" ht="15.75" customHeight="1">
      <c r="B96" s="58"/>
      <c r="C96" s="47"/>
      <c r="D96" s="47"/>
    </row>
    <row r="97" spans="2:4" s="1" customFormat="1" ht="15.75" customHeight="1">
      <c r="B97" s="58"/>
      <c r="C97" s="47"/>
      <c r="D97" s="47"/>
    </row>
    <row r="98" spans="2:4" s="1" customFormat="1" ht="15.75" customHeight="1">
      <c r="B98" s="58"/>
      <c r="C98" s="47"/>
      <c r="D98" s="47"/>
    </row>
    <row r="99" spans="2:4" s="1" customFormat="1" ht="15.75" customHeight="1">
      <c r="B99" s="58"/>
      <c r="C99" s="47"/>
      <c r="D99" s="47"/>
    </row>
    <row r="100" spans="2:4" s="1" customFormat="1" ht="15.75" customHeight="1">
      <c r="B100" s="58"/>
      <c r="C100" s="47"/>
      <c r="D100" s="47"/>
    </row>
    <row r="101" spans="2:4" s="1" customFormat="1" ht="15.75" customHeight="1">
      <c r="B101" s="58"/>
      <c r="C101" s="47"/>
      <c r="D101" s="47"/>
    </row>
    <row r="102" spans="2:4" s="1" customFormat="1" ht="15.75" customHeight="1">
      <c r="B102" s="58"/>
      <c r="C102" s="47"/>
      <c r="D102" s="47"/>
    </row>
    <row r="103" spans="2:4" s="1" customFormat="1" ht="15.75" customHeight="1">
      <c r="B103" s="58"/>
      <c r="C103" s="47"/>
      <c r="D103" s="47"/>
    </row>
    <row r="104" spans="2:4" s="1" customFormat="1" ht="15.75" customHeight="1">
      <c r="B104" s="58"/>
      <c r="C104" s="47"/>
      <c r="D104" s="47"/>
    </row>
    <row r="105" spans="2:4" s="1" customFormat="1" ht="15.75" customHeight="1">
      <c r="B105" s="58"/>
      <c r="C105" s="47"/>
      <c r="D105" s="47"/>
    </row>
    <row r="106" spans="2:4" s="1" customFormat="1" ht="15.75" customHeight="1">
      <c r="B106" s="58"/>
      <c r="C106" s="47"/>
      <c r="D106" s="47"/>
    </row>
    <row r="107" spans="2:4" s="1" customFormat="1" ht="15.75" customHeight="1">
      <c r="B107" s="58"/>
      <c r="C107" s="47"/>
      <c r="D107" s="47"/>
    </row>
    <row r="108" spans="2:4" s="1" customFormat="1" ht="15.75" customHeight="1">
      <c r="B108" s="58"/>
      <c r="C108" s="47"/>
      <c r="D108" s="47"/>
    </row>
    <row r="109" spans="2:4" s="1" customFormat="1" ht="15.75" customHeight="1">
      <c r="B109" s="58"/>
      <c r="C109" s="47"/>
      <c r="D109" s="47"/>
    </row>
    <row r="110" spans="2:4" s="1" customFormat="1" ht="15.75" customHeight="1">
      <c r="B110" s="58"/>
      <c r="C110" s="47"/>
      <c r="D110" s="47"/>
    </row>
    <row r="111" spans="2:4" s="1" customFormat="1" ht="15.75" customHeight="1">
      <c r="B111" s="58"/>
      <c r="C111" s="47"/>
      <c r="D111" s="47"/>
    </row>
    <row r="112" spans="2:4" s="1" customFormat="1" ht="15.75" customHeight="1">
      <c r="B112" s="58"/>
      <c r="C112" s="47"/>
      <c r="D112" s="47"/>
    </row>
    <row r="113" spans="2:4" s="1" customFormat="1" ht="15.75" customHeight="1">
      <c r="B113" s="58"/>
      <c r="C113" s="47"/>
      <c r="D113" s="47"/>
    </row>
    <row r="114" spans="2:4" s="1" customFormat="1" ht="15.75" customHeight="1">
      <c r="B114" s="58"/>
      <c r="C114" s="47"/>
      <c r="D114" s="47"/>
    </row>
    <row r="115" spans="2:4" s="1" customFormat="1" ht="15.75" customHeight="1">
      <c r="B115" s="58"/>
      <c r="C115" s="47"/>
      <c r="D115" s="47"/>
    </row>
    <row r="116" spans="2:4" s="1" customFormat="1" ht="15.75" customHeight="1">
      <c r="B116" s="58"/>
      <c r="C116" s="47"/>
      <c r="D116" s="47"/>
    </row>
    <row r="117" spans="2:4" s="1" customFormat="1" ht="15.75" customHeight="1">
      <c r="B117" s="58"/>
      <c r="C117" s="47"/>
      <c r="D117" s="47"/>
    </row>
    <row r="118" spans="2:4" s="1" customFormat="1" ht="15.75" customHeight="1">
      <c r="B118" s="58"/>
      <c r="C118" s="47"/>
      <c r="D118" s="47"/>
    </row>
    <row r="119" spans="2:4" s="1" customFormat="1" ht="15.75" customHeight="1">
      <c r="B119" s="58"/>
      <c r="C119" s="47"/>
      <c r="D119" s="47"/>
    </row>
    <row r="120" spans="2:4" s="1" customFormat="1" ht="15.75" customHeight="1">
      <c r="B120" s="58"/>
      <c r="C120" s="47"/>
      <c r="D120" s="47"/>
    </row>
    <row r="121" spans="2:4" s="1" customFormat="1" ht="15.75" customHeight="1">
      <c r="B121" s="58"/>
      <c r="C121" s="47"/>
      <c r="D121" s="47"/>
    </row>
    <row r="122" spans="2:4" s="1" customFormat="1" ht="15.75" customHeight="1">
      <c r="B122" s="58"/>
      <c r="C122" s="47"/>
      <c r="D122" s="47"/>
    </row>
    <row r="123" spans="2:4" s="1" customFormat="1" ht="15.75" customHeight="1">
      <c r="B123" s="58"/>
      <c r="C123" s="47"/>
      <c r="D123" s="47"/>
    </row>
    <row r="124" spans="2:4" s="1" customFormat="1" ht="15.75" customHeight="1">
      <c r="B124" s="58"/>
      <c r="C124" s="47"/>
      <c r="D124" s="47"/>
    </row>
    <row r="125" spans="2:4" s="1" customFormat="1" ht="15.75" customHeight="1">
      <c r="B125" s="58"/>
      <c r="C125" s="47"/>
      <c r="D125" s="47"/>
    </row>
    <row r="126" spans="2:4" s="1" customFormat="1" ht="15.75" customHeight="1">
      <c r="B126" s="58"/>
      <c r="C126" s="47"/>
      <c r="D126" s="47"/>
    </row>
    <row r="127" spans="2:4" s="1" customFormat="1" ht="15.75" customHeight="1">
      <c r="B127" s="58"/>
      <c r="C127" s="47"/>
      <c r="D127" s="47"/>
    </row>
    <row r="128" spans="2:4" s="1" customFormat="1" ht="15.75" customHeight="1">
      <c r="B128" s="58"/>
      <c r="C128" s="47"/>
      <c r="D128" s="47"/>
    </row>
    <row r="129" spans="2:4" s="1" customFormat="1" ht="15.75" customHeight="1">
      <c r="B129" s="58"/>
      <c r="C129" s="47"/>
      <c r="D129" s="47"/>
    </row>
    <row r="130" spans="2:4" s="1" customFormat="1" ht="15.75" customHeight="1">
      <c r="B130" s="58"/>
      <c r="C130" s="47"/>
      <c r="D130" s="47"/>
    </row>
    <row r="131" spans="2:4" s="1" customFormat="1" ht="15.75" customHeight="1">
      <c r="B131" s="58"/>
      <c r="C131" s="47"/>
      <c r="D131" s="47"/>
    </row>
    <row r="132" spans="2:4" s="1" customFormat="1" ht="15.75" customHeight="1">
      <c r="B132" s="58"/>
      <c r="C132" s="47"/>
      <c r="D132" s="47"/>
    </row>
    <row r="133" spans="2:4" s="1" customFormat="1" ht="15.75" customHeight="1">
      <c r="B133" s="58"/>
      <c r="C133" s="47"/>
      <c r="D133" s="47"/>
    </row>
    <row r="134" spans="2:4" s="1" customFormat="1" ht="15.75" customHeight="1">
      <c r="B134" s="58"/>
      <c r="C134" s="47"/>
      <c r="D134" s="47"/>
    </row>
    <row r="135" spans="2:4" s="1" customFormat="1" ht="15.75" customHeight="1">
      <c r="B135" s="58"/>
      <c r="C135" s="47"/>
      <c r="D135" s="47"/>
    </row>
    <row r="136" spans="2:4" s="1" customFormat="1" ht="15.75" customHeight="1">
      <c r="B136" s="58"/>
      <c r="C136" s="47"/>
      <c r="D136" s="47"/>
    </row>
    <row r="137" spans="2:4" s="1" customFormat="1" ht="15.75" customHeight="1">
      <c r="B137" s="58"/>
      <c r="C137" s="47"/>
      <c r="D137" s="47"/>
    </row>
    <row r="138" spans="2:4" s="1" customFormat="1" ht="15.75" customHeight="1">
      <c r="B138" s="58"/>
      <c r="C138" s="47"/>
      <c r="D138" s="47"/>
    </row>
    <row r="139" spans="2:4" s="1" customFormat="1" ht="15.75" customHeight="1">
      <c r="B139" s="58"/>
      <c r="C139" s="47"/>
      <c r="D139" s="47"/>
    </row>
    <row r="140" spans="2:4" s="1" customFormat="1" ht="15.75" customHeight="1">
      <c r="B140" s="58"/>
      <c r="C140" s="47"/>
      <c r="D140" s="47"/>
    </row>
    <row r="141" spans="2:4" s="1" customFormat="1" ht="15.75" customHeight="1">
      <c r="B141" s="58"/>
      <c r="C141" s="47"/>
      <c r="D141" s="47"/>
    </row>
    <row r="142" spans="2:4" s="1" customFormat="1" ht="15.75" customHeight="1">
      <c r="B142" s="58"/>
      <c r="C142" s="47"/>
      <c r="D142" s="47"/>
    </row>
    <row r="143" spans="2:4" s="1" customFormat="1" ht="15.75" customHeight="1">
      <c r="B143" s="58"/>
      <c r="C143" s="47"/>
      <c r="D143" s="47"/>
    </row>
    <row r="144" spans="2:4" s="1" customFormat="1" ht="15.75" customHeight="1">
      <c r="B144" s="58"/>
      <c r="C144" s="47"/>
      <c r="D144" s="47"/>
    </row>
    <row r="145" spans="2:4" s="1" customFormat="1" ht="15.75" customHeight="1">
      <c r="B145" s="58"/>
      <c r="C145" s="47"/>
      <c r="D145" s="47"/>
    </row>
    <row r="146" spans="2:4" s="1" customFormat="1" ht="15.75" customHeight="1">
      <c r="B146" s="58"/>
      <c r="C146" s="47"/>
      <c r="D146" s="47"/>
    </row>
    <row r="147" spans="2:4" s="1" customFormat="1" ht="15.75" customHeight="1">
      <c r="B147" s="58"/>
      <c r="C147" s="47"/>
      <c r="D147" s="47"/>
    </row>
    <row r="148" spans="2:4" s="1" customFormat="1" ht="15.75" customHeight="1">
      <c r="B148" s="58"/>
      <c r="C148" s="47"/>
      <c r="D148" s="47"/>
    </row>
    <row r="149" spans="2:4" s="1" customFormat="1" ht="15.75" customHeight="1">
      <c r="B149" s="58"/>
      <c r="C149" s="47"/>
      <c r="D149" s="47"/>
    </row>
    <row r="150" spans="2:4" s="1" customFormat="1" ht="15.75" customHeight="1">
      <c r="B150" s="58"/>
      <c r="C150" s="47"/>
      <c r="D150" s="47"/>
    </row>
    <row r="151" spans="2:4" s="1" customFormat="1" ht="15.75" customHeight="1">
      <c r="B151" s="58"/>
      <c r="C151" s="47"/>
      <c r="D151" s="47"/>
    </row>
    <row r="152" spans="2:4" s="1" customFormat="1" ht="15.75" customHeight="1">
      <c r="B152" s="58"/>
      <c r="C152" s="47"/>
      <c r="D152" s="47"/>
    </row>
    <row r="153" spans="2:4" s="1" customFormat="1" ht="15.75" customHeight="1">
      <c r="B153" s="58"/>
      <c r="C153" s="47"/>
      <c r="D153" s="47"/>
    </row>
    <row r="154" spans="2:4" s="1" customFormat="1" ht="15.75" customHeight="1">
      <c r="B154" s="58"/>
      <c r="C154" s="47"/>
      <c r="D154" s="47"/>
    </row>
    <row r="155" spans="2:4" s="1" customFormat="1" ht="15.75" customHeight="1">
      <c r="B155" s="58"/>
      <c r="C155" s="47"/>
      <c r="D155" s="47"/>
    </row>
    <row r="156" spans="2:4" s="1" customFormat="1" ht="15.75" customHeight="1">
      <c r="B156" s="58"/>
      <c r="C156" s="47"/>
      <c r="D156" s="47"/>
    </row>
    <row r="157" spans="2:4" s="1" customFormat="1" ht="15.75" customHeight="1">
      <c r="B157" s="58"/>
      <c r="C157" s="47"/>
      <c r="D157" s="47"/>
    </row>
    <row r="158" spans="2:4" s="1" customFormat="1" ht="15.75" customHeight="1">
      <c r="B158" s="58"/>
      <c r="C158" s="47"/>
      <c r="D158" s="47"/>
    </row>
    <row r="159" spans="2:4" s="1" customFormat="1" ht="15.75" customHeight="1">
      <c r="B159" s="58"/>
      <c r="C159" s="47"/>
      <c r="D159" s="47"/>
    </row>
    <row r="160" spans="2:4" s="1" customFormat="1" ht="15.75" customHeight="1">
      <c r="B160" s="58"/>
      <c r="C160" s="47"/>
      <c r="D160" s="47"/>
    </row>
  </sheetData>
  <mergeCells count="10">
    <mergeCell ref="B55:C55"/>
    <mergeCell ref="B56:C56"/>
    <mergeCell ref="B57:C57"/>
    <mergeCell ref="B6:D6"/>
    <mergeCell ref="B7:B8"/>
    <mergeCell ref="B21:B22"/>
    <mergeCell ref="C21:C22"/>
    <mergeCell ref="D21:D22"/>
    <mergeCell ref="B33:B34"/>
    <mergeCell ref="C33:C34"/>
  </mergeCell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61"/>
  <sheetViews>
    <sheetView showGridLines="0" topLeftCell="F1" workbookViewId="0">
      <selection activeCell="C26" sqref="C26:K30"/>
    </sheetView>
  </sheetViews>
  <sheetFormatPr defaultRowHeight="15.75" customHeight="1"/>
  <cols>
    <col min="1" max="1" width="15.5703125" style="108" customWidth="1"/>
    <col min="2" max="2" width="67.7109375" style="108" bestFit="1" customWidth="1"/>
    <col min="3" max="3" width="18.7109375" style="108" bestFit="1" customWidth="1"/>
    <col min="4" max="4" width="20.7109375" style="148" customWidth="1"/>
    <col min="5" max="5" width="20.7109375" style="108" customWidth="1"/>
    <col min="6" max="6" width="19.5703125" style="108" bestFit="1" customWidth="1"/>
    <col min="7" max="8" width="18.7109375" style="108" bestFit="1" customWidth="1"/>
    <col min="9" max="9" width="21.42578125" style="108" customWidth="1"/>
    <col min="10" max="12" width="20" style="108" bestFit="1" customWidth="1"/>
    <col min="13" max="13" width="6.85546875" style="108" customWidth="1"/>
    <col min="14" max="14" width="18.42578125" style="148" bestFit="1" customWidth="1"/>
    <col min="15" max="15" width="14.7109375" style="151" bestFit="1" customWidth="1"/>
    <col min="16" max="16" width="13.5703125" style="151" bestFit="1" customWidth="1"/>
    <col min="17" max="28" width="9.5703125" style="108" customWidth="1"/>
    <col min="29" max="1032" width="9.42578125" style="108" customWidth="1"/>
    <col min="1033" max="16384" width="9.140625" style="108"/>
  </cols>
  <sheetData>
    <row r="1" spans="1:28" ht="15.75" customHeight="1">
      <c r="A1" s="106" t="s">
        <v>118</v>
      </c>
      <c r="B1" s="106"/>
      <c r="C1" s="106"/>
      <c r="D1" s="144"/>
      <c r="E1" s="106"/>
      <c r="F1" s="106"/>
      <c r="G1" s="106"/>
      <c r="H1" s="106"/>
      <c r="I1" s="106"/>
      <c r="J1" s="109"/>
      <c r="K1" s="109"/>
      <c r="L1" s="109"/>
      <c r="M1" s="106"/>
      <c r="N1" s="144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</row>
    <row r="2" spans="1:28" ht="15.75" customHeight="1">
      <c r="A2" s="106"/>
      <c r="B2" s="106"/>
      <c r="C2" s="106"/>
      <c r="D2" s="144"/>
      <c r="E2" s="106"/>
      <c r="F2" s="106"/>
      <c r="G2" s="106"/>
      <c r="H2" s="106"/>
      <c r="I2" s="106"/>
      <c r="J2" s="109"/>
      <c r="K2" s="109"/>
      <c r="L2" s="109"/>
      <c r="M2" s="106"/>
      <c r="N2" s="144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</row>
    <row r="3" spans="1:28" ht="15.75" customHeight="1">
      <c r="A3" s="106"/>
      <c r="B3" s="312" t="s">
        <v>173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106"/>
      <c r="N3" s="144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</row>
    <row r="4" spans="1:28" ht="15.75" customHeight="1">
      <c r="A4" s="106"/>
      <c r="B4" s="106"/>
      <c r="C4" s="106"/>
      <c r="D4" s="144"/>
      <c r="E4" s="106"/>
      <c r="F4" s="106"/>
      <c r="G4" s="106"/>
      <c r="H4" s="106"/>
      <c r="I4" s="106"/>
      <c r="J4" s="109"/>
      <c r="K4" s="109"/>
      <c r="L4" s="109"/>
      <c r="M4" s="106"/>
      <c r="N4" s="144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</row>
    <row r="5" spans="1:28" ht="15.75" customHeight="1">
      <c r="A5" s="106"/>
      <c r="B5" s="106"/>
      <c r="C5" s="106"/>
      <c r="D5" s="144"/>
      <c r="E5" s="106"/>
      <c r="F5" s="106"/>
      <c r="G5" s="106"/>
      <c r="H5" s="106"/>
      <c r="I5" s="106"/>
      <c r="J5" s="109"/>
      <c r="K5" s="109"/>
      <c r="L5" s="109"/>
      <c r="M5" s="106"/>
      <c r="N5" s="144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</row>
    <row r="6" spans="1:28" s="141" customFormat="1" ht="24.95" customHeight="1">
      <c r="A6" s="140"/>
      <c r="B6" s="139" t="s">
        <v>0</v>
      </c>
      <c r="C6" s="139" t="s">
        <v>90</v>
      </c>
      <c r="D6" s="173" t="s">
        <v>85</v>
      </c>
      <c r="E6" s="139" t="s">
        <v>77</v>
      </c>
      <c r="F6" s="139" t="s">
        <v>69</v>
      </c>
      <c r="G6" s="139" t="s">
        <v>61</v>
      </c>
      <c r="H6" s="139" t="s">
        <v>53</v>
      </c>
      <c r="I6" s="139" t="s">
        <v>44</v>
      </c>
      <c r="J6" s="139" t="s">
        <v>151</v>
      </c>
      <c r="K6" s="139" t="s">
        <v>31</v>
      </c>
      <c r="L6" s="139">
        <v>2022</v>
      </c>
      <c r="M6" s="140"/>
      <c r="N6" s="145"/>
      <c r="O6" s="151"/>
      <c r="P6" s="151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</row>
    <row r="7" spans="1:28" s="112" customFormat="1" ht="15.75" customHeight="1">
      <c r="A7" s="111"/>
      <c r="B7" s="289" t="s">
        <v>127</v>
      </c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111"/>
      <c r="N7" s="146"/>
      <c r="O7" s="151"/>
      <c r="P7" s="15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</row>
    <row r="8" spans="1:28" s="142" customFormat="1" ht="15.75" customHeight="1">
      <c r="A8" s="111"/>
      <c r="B8" s="291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111"/>
      <c r="N8" s="146"/>
      <c r="O8" s="151"/>
      <c r="P8" s="15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</row>
    <row r="9" spans="1:28" s="142" customFormat="1" ht="15.75" customHeight="1">
      <c r="A9" s="111"/>
      <c r="B9" s="118" t="s">
        <v>120</v>
      </c>
      <c r="C9" s="11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8" t="s">
        <v>2</v>
      </c>
      <c r="M9" s="111"/>
      <c r="N9" s="146"/>
      <c r="O9" s="151"/>
      <c r="P9" s="15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</row>
    <row r="10" spans="1:28" ht="17.100000000000001" customHeight="1">
      <c r="A10" s="106"/>
      <c r="B10" s="136" t="s">
        <v>3</v>
      </c>
      <c r="C10" s="168">
        <v>635941.19999999995</v>
      </c>
      <c r="D10" s="168">
        <v>597854.14</v>
      </c>
      <c r="E10" s="168">
        <v>595267.09</v>
      </c>
      <c r="F10" s="168">
        <v>727581.54</v>
      </c>
      <c r="G10" s="168">
        <v>524966.87</v>
      </c>
      <c r="H10" s="168">
        <v>535990.88</v>
      </c>
      <c r="I10" s="168">
        <v>636880.65</v>
      </c>
      <c r="J10" s="138">
        <v>358179.72</v>
      </c>
      <c r="K10" s="138">
        <f>467985.07+2546.27</f>
        <v>470531.34</v>
      </c>
      <c r="L10" s="138">
        <f>SUM(C10:K10)</f>
        <v>5083193.43</v>
      </c>
      <c r="M10" s="106"/>
      <c r="N10" s="147"/>
      <c r="O10" s="152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</row>
    <row r="11" spans="1:28" ht="17.100000000000001" customHeight="1">
      <c r="A11" s="106"/>
      <c r="B11" s="114" t="s">
        <v>4</v>
      </c>
      <c r="C11" s="168">
        <v>404739.76</v>
      </c>
      <c r="D11" s="169">
        <v>380502.6</v>
      </c>
      <c r="E11" s="169">
        <v>378856.21</v>
      </c>
      <c r="F11" s="169">
        <v>463056.11</v>
      </c>
      <c r="G11" s="169">
        <v>487801.26</v>
      </c>
      <c r="H11" s="169">
        <v>189358.6</v>
      </c>
      <c r="I11" s="169">
        <v>405387.8</v>
      </c>
      <c r="J11" s="135">
        <v>227932.55</v>
      </c>
      <c r="K11" s="135">
        <v>452327.34</v>
      </c>
      <c r="L11" s="138">
        <f t="shared" ref="L11:L20" si="0">SUM(C11:K11)</f>
        <v>3389962.23</v>
      </c>
      <c r="M11" s="106"/>
      <c r="N11" s="147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</row>
    <row r="12" spans="1:28" ht="17.100000000000001" customHeight="1">
      <c r="A12" s="106"/>
      <c r="B12" s="114" t="s">
        <v>201</v>
      </c>
      <c r="C12" s="171">
        <v>263303.75</v>
      </c>
      <c r="D12" s="171">
        <v>263303.75</v>
      </c>
      <c r="E12" s="171">
        <v>263303.75</v>
      </c>
      <c r="F12" s="171">
        <v>263303.75</v>
      </c>
      <c r="G12" s="171">
        <v>126693.92</v>
      </c>
      <c r="H12" s="171">
        <v>126693.92</v>
      </c>
      <c r="I12" s="170">
        <v>126693.92</v>
      </c>
      <c r="J12" s="115">
        <v>126693.92</v>
      </c>
      <c r="K12" s="115">
        <v>126693.92</v>
      </c>
      <c r="L12" s="138">
        <f t="shared" si="0"/>
        <v>1686684.5999999996</v>
      </c>
      <c r="M12" s="106"/>
      <c r="N12" s="147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</row>
    <row r="13" spans="1:28" ht="17.100000000000001" customHeight="1">
      <c r="A13" s="106"/>
      <c r="B13" s="114" t="s">
        <v>6</v>
      </c>
      <c r="C13" s="171">
        <v>404682.47</v>
      </c>
      <c r="D13" s="171">
        <v>676344.82</v>
      </c>
      <c r="E13" s="171">
        <v>421416.32</v>
      </c>
      <c r="F13" s="171">
        <v>-84090.74</v>
      </c>
      <c r="G13" s="171">
        <v>505838.52</v>
      </c>
      <c r="H13" s="171">
        <v>16001.38</v>
      </c>
      <c r="I13" s="171">
        <v>809918.94</v>
      </c>
      <c r="J13" s="115">
        <v>98226.79</v>
      </c>
      <c r="K13" s="115">
        <v>38967.99</v>
      </c>
      <c r="L13" s="138">
        <f t="shared" si="0"/>
        <v>2887306.49</v>
      </c>
      <c r="N13" s="147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</row>
    <row r="14" spans="1:28" ht="17.100000000000001" customHeight="1">
      <c r="A14" s="106"/>
      <c r="B14" s="114" t="s">
        <v>202</v>
      </c>
      <c r="C14" s="171">
        <f>57964.94+57617.15</f>
        <v>115582.09</v>
      </c>
      <c r="D14" s="171">
        <v>0</v>
      </c>
      <c r="E14" s="171">
        <v>57607.77</v>
      </c>
      <c r="F14" s="171">
        <v>57349.7</v>
      </c>
      <c r="G14" s="171">
        <v>56759.4</v>
      </c>
      <c r="H14" s="171">
        <v>55805.13</v>
      </c>
      <c r="I14" s="171">
        <v>55252.6</v>
      </c>
      <c r="J14" s="115">
        <v>54884.88</v>
      </c>
      <c r="K14" s="115">
        <v>54487.12</v>
      </c>
      <c r="L14" s="138">
        <f t="shared" si="0"/>
        <v>507728.69</v>
      </c>
      <c r="M14" s="106"/>
      <c r="N14" s="147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</row>
    <row r="15" spans="1:28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15">
        <v>23811.51</v>
      </c>
      <c r="L15" s="138">
        <f t="shared" si="0"/>
        <v>23811.51</v>
      </c>
      <c r="M15" s="106"/>
      <c r="N15" s="147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</row>
    <row r="16" spans="1:28" ht="17.100000000000001" customHeight="1">
      <c r="A16" s="106"/>
      <c r="B16" s="114" t="s">
        <v>203</v>
      </c>
      <c r="C16" s="171">
        <v>12936.32</v>
      </c>
      <c r="D16" s="171">
        <v>12949.78</v>
      </c>
      <c r="E16" s="171">
        <v>12742.8</v>
      </c>
      <c r="F16" s="171">
        <v>12621.89</v>
      </c>
      <c r="G16" s="171">
        <v>12430.62</v>
      </c>
      <c r="H16" s="171">
        <v>12368.92</v>
      </c>
      <c r="I16" s="171">
        <v>11980.7</v>
      </c>
      <c r="J16" s="115">
        <v>11840.9</v>
      </c>
      <c r="K16" s="115">
        <v>11697.01</v>
      </c>
      <c r="L16" s="138">
        <f t="shared" si="0"/>
        <v>111568.93999999999</v>
      </c>
      <c r="M16" s="106"/>
      <c r="N16" s="147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</row>
    <row r="17" spans="1:28" ht="17.100000000000001" customHeight="1">
      <c r="A17" s="106"/>
      <c r="B17" s="114" t="s">
        <v>204</v>
      </c>
      <c r="C17" s="171">
        <v>5393.18</v>
      </c>
      <c r="D17" s="171">
        <v>5398.8</v>
      </c>
      <c r="E17" s="171">
        <v>5312.52</v>
      </c>
      <c r="F17" s="171">
        <v>5262.12</v>
      </c>
      <c r="G17" s="171">
        <v>5182.37</v>
      </c>
      <c r="H17" s="171">
        <v>5156.6499999999996</v>
      </c>
      <c r="I17" s="171">
        <v>4994.8</v>
      </c>
      <c r="J17" s="115">
        <v>4936.5200000000004</v>
      </c>
      <c r="K17" s="115">
        <v>4876.53</v>
      </c>
      <c r="L17" s="138">
        <f t="shared" si="0"/>
        <v>46513.490000000005</v>
      </c>
      <c r="M17" s="106"/>
      <c r="N17" s="147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</row>
    <row r="18" spans="1:28" ht="17.100000000000001" customHeight="1">
      <c r="A18" s="106"/>
      <c r="B18" s="114" t="s">
        <v>205</v>
      </c>
      <c r="C18" s="171">
        <v>18476.41</v>
      </c>
      <c r="D18" s="171">
        <v>18497.71</v>
      </c>
      <c r="E18" s="171">
        <v>18201.28</v>
      </c>
      <c r="F18" s="171">
        <v>18028.2</v>
      </c>
      <c r="G18" s="171">
        <v>17753.55</v>
      </c>
      <c r="H18" s="171">
        <v>17665.8</v>
      </c>
      <c r="I18" s="171">
        <v>17111.64</v>
      </c>
      <c r="J18" s="115">
        <v>17026.22</v>
      </c>
      <c r="K18" s="115">
        <v>16706.07</v>
      </c>
      <c r="L18" s="138">
        <f t="shared" si="0"/>
        <v>159466.88</v>
      </c>
      <c r="M18" s="106"/>
      <c r="N18" s="147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</row>
    <row r="19" spans="1:28" ht="17.100000000000001" customHeight="1">
      <c r="A19" s="106"/>
      <c r="B19" s="114" t="s">
        <v>178</v>
      </c>
      <c r="C19" s="171">
        <v>11242.71</v>
      </c>
      <c r="D19" s="171">
        <v>11242.71</v>
      </c>
      <c r="E19" s="171">
        <v>11242.71</v>
      </c>
      <c r="F19" s="171">
        <v>11242.71</v>
      </c>
      <c r="G19" s="171">
        <v>11242.71</v>
      </c>
      <c r="H19" s="171">
        <v>82684.009999999995</v>
      </c>
      <c r="I19" s="171">
        <v>11242.71</v>
      </c>
      <c r="J19" s="115">
        <v>0</v>
      </c>
      <c r="K19" s="115">
        <v>0</v>
      </c>
      <c r="L19" s="138">
        <f t="shared" si="0"/>
        <v>150140.26999999999</v>
      </c>
      <c r="M19" s="106"/>
      <c r="N19" s="147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</row>
    <row r="20" spans="1:28" ht="17.100000000000001" customHeight="1">
      <c r="A20" s="106"/>
      <c r="B20" s="114" t="s">
        <v>192</v>
      </c>
      <c r="C20" s="171">
        <f>1168.12+1943.36</f>
        <v>3111.4799999999996</v>
      </c>
      <c r="D20" s="171">
        <f>1168.12+1943.36</f>
        <v>3111.4799999999996</v>
      </c>
      <c r="E20" s="171">
        <f>1168.12+1943.36</f>
        <v>3111.4799999999996</v>
      </c>
      <c r="F20" s="171">
        <f>1168.12+1943.36</f>
        <v>3111.4799999999996</v>
      </c>
      <c r="G20" s="171">
        <f>(1168.12*2)+(1943.36*2)</f>
        <v>6222.9599999999991</v>
      </c>
      <c r="H20" s="171">
        <v>0</v>
      </c>
      <c r="I20" s="171">
        <v>15557.47</v>
      </c>
      <c r="J20" s="115">
        <v>1168.1199999999999</v>
      </c>
      <c r="K20" s="115">
        <v>3231.48</v>
      </c>
      <c r="L20" s="138">
        <f t="shared" si="0"/>
        <v>38625.950000000004</v>
      </c>
      <c r="M20" s="106"/>
      <c r="N20" s="147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</row>
    <row r="21" spans="1:28" s="112" customFormat="1" ht="15.75" customHeight="1">
      <c r="A21" s="111"/>
      <c r="B21" s="116" t="s">
        <v>9</v>
      </c>
      <c r="C21" s="117">
        <f t="shared" ref="C21:K21" si="1">SUM(C10:C20)</f>
        <v>1875409.3699999999</v>
      </c>
      <c r="D21" s="117">
        <f t="shared" si="1"/>
        <v>1969205.79</v>
      </c>
      <c r="E21" s="117">
        <f t="shared" si="1"/>
        <v>1767061.9300000002</v>
      </c>
      <c r="F21" s="117">
        <f t="shared" si="1"/>
        <v>1477466.7599999998</v>
      </c>
      <c r="G21" s="117">
        <f t="shared" si="1"/>
        <v>1754892.1800000002</v>
      </c>
      <c r="H21" s="117">
        <f t="shared" si="1"/>
        <v>1041725.2900000002</v>
      </c>
      <c r="I21" s="117">
        <f t="shared" si="1"/>
        <v>2095021.2299999997</v>
      </c>
      <c r="J21" s="117">
        <f t="shared" si="1"/>
        <v>900889.62000000011</v>
      </c>
      <c r="K21" s="117">
        <f t="shared" si="1"/>
        <v>1203330.3100000003</v>
      </c>
      <c r="L21" s="117">
        <f>SUM(L10:L20)</f>
        <v>14085002.479999999</v>
      </c>
      <c r="M21" s="111"/>
      <c r="N21" s="146"/>
      <c r="O21" s="151"/>
      <c r="P21" s="15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</row>
    <row r="22" spans="1:28" ht="15.75" customHeight="1">
      <c r="A22" s="106"/>
      <c r="B22" s="106"/>
      <c r="C22" s="106"/>
      <c r="D22" s="147"/>
      <c r="E22" s="106"/>
      <c r="F22" s="106"/>
      <c r="G22" s="106"/>
      <c r="H22" s="106"/>
      <c r="I22" s="106"/>
      <c r="J22" s="109"/>
      <c r="K22" s="109"/>
      <c r="L22" s="109"/>
      <c r="M22" s="106"/>
      <c r="N22" s="147" t="s">
        <v>118</v>
      </c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</row>
    <row r="23" spans="1:28" s="112" customFormat="1" ht="15.75" customHeight="1">
      <c r="A23" s="111"/>
      <c r="B23" s="289" t="s">
        <v>128</v>
      </c>
      <c r="C23" s="290"/>
      <c r="D23" s="290"/>
      <c r="E23" s="290"/>
      <c r="F23" s="290"/>
      <c r="G23" s="290"/>
      <c r="H23" s="290"/>
      <c r="I23" s="290"/>
      <c r="J23" s="290"/>
      <c r="K23" s="290"/>
      <c r="L23" s="290"/>
      <c r="M23" s="111"/>
      <c r="N23" s="146"/>
      <c r="O23" s="151"/>
      <c r="P23" s="15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</row>
    <row r="24" spans="1:28" ht="15.75" customHeight="1">
      <c r="A24" s="106"/>
      <c r="B24" s="291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106"/>
      <c r="N24" s="147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</row>
    <row r="25" spans="1:28" ht="17.100000000000001" customHeight="1">
      <c r="A25" s="106"/>
      <c r="B25" s="118" t="s">
        <v>121</v>
      </c>
      <c r="C25" s="118"/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18" t="s">
        <v>2</v>
      </c>
      <c r="M25" s="106"/>
      <c r="N25" s="147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</row>
    <row r="26" spans="1:28" ht="17.100000000000001" customHeight="1">
      <c r="A26" s="106"/>
      <c r="B26" s="114" t="s">
        <v>179</v>
      </c>
      <c r="C26" s="171">
        <v>621961.06000000006</v>
      </c>
      <c r="D26" s="179">
        <v>615746.06999999995</v>
      </c>
      <c r="E26" s="171">
        <v>617621.43000000005</v>
      </c>
      <c r="F26" s="179">
        <v>925293.45</v>
      </c>
      <c r="G26" s="179">
        <v>755023.19</v>
      </c>
      <c r="H26" s="179">
        <v>548127.35</v>
      </c>
      <c r="I26" s="179">
        <v>542075.24</v>
      </c>
      <c r="J26" s="189">
        <v>495470.49</v>
      </c>
      <c r="K26" s="115">
        <v>487626.13</v>
      </c>
      <c r="L26" s="115">
        <f>SUM(C26:K26)</f>
        <v>5608944.4100000001</v>
      </c>
      <c r="M26" s="106"/>
      <c r="N26" s="147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</row>
    <row r="27" spans="1:28" ht="17.100000000000001" customHeight="1">
      <c r="A27" s="106"/>
      <c r="B27" s="114" t="s">
        <v>150</v>
      </c>
      <c r="C27" s="171">
        <v>66848.59</v>
      </c>
      <c r="D27" s="179">
        <v>69264.009999999995</v>
      </c>
      <c r="E27" s="171">
        <v>64433.17</v>
      </c>
      <c r="F27" s="179">
        <v>97154.79</v>
      </c>
      <c r="G27" s="179">
        <v>67044.08</v>
      </c>
      <c r="H27" s="179">
        <v>64945.72</v>
      </c>
      <c r="I27" s="179">
        <v>64945.72</v>
      </c>
      <c r="J27" s="189">
        <v>63584.02</v>
      </c>
      <c r="K27" s="115">
        <v>65481.06</v>
      </c>
      <c r="L27" s="115">
        <f t="shared" ref="L27:L30" si="2">SUM(C27:K27)</f>
        <v>623701.15999999992</v>
      </c>
      <c r="M27" s="106"/>
      <c r="N27" s="147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</row>
    <row r="28" spans="1:28" ht="17.100000000000001" customHeight="1">
      <c r="A28" s="106"/>
      <c r="B28" s="114" t="s">
        <v>171</v>
      </c>
      <c r="C28" s="191">
        <v>37429.24</v>
      </c>
      <c r="D28" s="191">
        <v>36658.53</v>
      </c>
      <c r="E28" s="191">
        <v>38537.58</v>
      </c>
      <c r="F28" s="191">
        <v>46269.5</v>
      </c>
      <c r="G28" s="191">
        <v>40256.519999999997</v>
      </c>
      <c r="H28" s="191">
        <v>27034.39</v>
      </c>
      <c r="I28" s="191">
        <v>24052.01</v>
      </c>
      <c r="J28" s="190">
        <v>21886.080000000002</v>
      </c>
      <c r="K28" s="119">
        <v>17676.18</v>
      </c>
      <c r="L28" s="115">
        <f t="shared" si="2"/>
        <v>289800.02999999997</v>
      </c>
      <c r="M28" s="106"/>
      <c r="N28" s="147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</row>
    <row r="29" spans="1:28" ht="17.100000000000001" customHeight="1">
      <c r="A29" s="106"/>
      <c r="B29" s="114" t="s">
        <v>193</v>
      </c>
      <c r="C29" s="171">
        <f>1531.08</f>
        <v>1531.08</v>
      </c>
      <c r="D29" s="179">
        <f>1531.08</f>
        <v>1531.08</v>
      </c>
      <c r="E29" s="179">
        <v>1277.42</v>
      </c>
      <c r="F29" s="179">
        <f>1531.08</f>
        <v>1531.08</v>
      </c>
      <c r="G29" s="179">
        <v>16262.03</v>
      </c>
      <c r="H29" s="179">
        <v>0</v>
      </c>
      <c r="I29" s="179">
        <v>0</v>
      </c>
      <c r="J29" s="189">
        <v>0</v>
      </c>
      <c r="K29" s="115">
        <v>0</v>
      </c>
      <c r="L29" s="115">
        <f t="shared" si="2"/>
        <v>22132.690000000002</v>
      </c>
      <c r="M29" s="106"/>
      <c r="N29" s="147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</row>
    <row r="30" spans="1:28" ht="17.100000000000001" customHeight="1">
      <c r="A30" s="106"/>
      <c r="B30" s="114" t="s">
        <v>130</v>
      </c>
      <c r="C30" s="172">
        <v>45044</v>
      </c>
      <c r="D30" s="191">
        <v>76149.100000000006</v>
      </c>
      <c r="E30" s="172">
        <v>46552.78</v>
      </c>
      <c r="F30" s="191">
        <v>89171.65</v>
      </c>
      <c r="G30" s="191">
        <v>37362.04</v>
      </c>
      <c r="H30" s="191">
        <v>55560.09</v>
      </c>
      <c r="I30" s="191">
        <v>22252.83</v>
      </c>
      <c r="J30" s="190">
        <v>14595.13</v>
      </c>
      <c r="K30" s="119">
        <v>7086.12</v>
      </c>
      <c r="L30" s="115">
        <f t="shared" si="2"/>
        <v>393773.74000000005</v>
      </c>
      <c r="M30" s="106"/>
      <c r="N30" s="147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</row>
    <row r="31" spans="1:28" s="112" customFormat="1" ht="17.100000000000001" customHeight="1">
      <c r="A31" s="111"/>
      <c r="B31" s="120" t="s">
        <v>84</v>
      </c>
      <c r="C31" s="121">
        <f t="shared" ref="C31:K31" si="3">SUM(C26:C30)</f>
        <v>772813.97</v>
      </c>
      <c r="D31" s="121">
        <f t="shared" si="3"/>
        <v>799348.78999999992</v>
      </c>
      <c r="E31" s="121">
        <f t="shared" si="3"/>
        <v>768422.38000000012</v>
      </c>
      <c r="F31" s="121">
        <f t="shared" si="3"/>
        <v>1159420.47</v>
      </c>
      <c r="G31" s="121">
        <f t="shared" si="3"/>
        <v>915947.86</v>
      </c>
      <c r="H31" s="121">
        <f t="shared" si="3"/>
        <v>695667.54999999993</v>
      </c>
      <c r="I31" s="121">
        <f t="shared" si="3"/>
        <v>653325.79999999993</v>
      </c>
      <c r="J31" s="121">
        <f t="shared" si="3"/>
        <v>595535.72</v>
      </c>
      <c r="K31" s="121">
        <f t="shared" si="3"/>
        <v>577869.49</v>
      </c>
      <c r="L31" s="121">
        <f>SUM(L26:L30)</f>
        <v>6938352.0300000012</v>
      </c>
      <c r="M31" s="111"/>
      <c r="N31" s="146"/>
      <c r="O31" s="151"/>
      <c r="P31" s="15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</row>
    <row r="32" spans="1:28" s="112" customFormat="1" ht="17.100000000000001" customHeight="1">
      <c r="A32" s="111"/>
      <c r="B32" s="163" t="s">
        <v>14</v>
      </c>
      <c r="C32" s="164">
        <f>C21-C31</f>
        <v>1102595.3999999999</v>
      </c>
      <c r="D32" s="164">
        <f>D21-D31</f>
        <v>1169857</v>
      </c>
      <c r="E32" s="164">
        <f>E21-E31</f>
        <v>998639.55</v>
      </c>
      <c r="F32" s="164">
        <f>F21-F31</f>
        <v>318046.2899999998</v>
      </c>
      <c r="G32" s="164">
        <f>G21-G31</f>
        <v>838944.32000000018</v>
      </c>
      <c r="H32" s="164">
        <f t="shared" ref="H32:K32" si="4">H21-H31</f>
        <v>346057.74000000022</v>
      </c>
      <c r="I32" s="164">
        <f t="shared" si="4"/>
        <v>1441695.4299999997</v>
      </c>
      <c r="J32" s="164">
        <f t="shared" si="4"/>
        <v>305353.90000000014</v>
      </c>
      <c r="K32" s="164">
        <f t="shared" si="4"/>
        <v>625460.8200000003</v>
      </c>
      <c r="L32" s="159">
        <f>L21-L31</f>
        <v>7146650.4499999974</v>
      </c>
      <c r="M32" s="111"/>
      <c r="N32" s="146"/>
      <c r="O32" s="151"/>
      <c r="P32" s="15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</row>
    <row r="33" spans="1:28" ht="15.75" customHeight="1">
      <c r="A33" s="106"/>
      <c r="B33" s="106"/>
      <c r="C33" s="106"/>
      <c r="D33" s="147"/>
      <c r="E33" s="106"/>
      <c r="F33" s="106"/>
      <c r="G33" s="106"/>
      <c r="H33" s="106"/>
      <c r="I33" s="106"/>
      <c r="J33" s="109"/>
      <c r="K33" s="109"/>
      <c r="L33" s="109"/>
      <c r="M33" s="106"/>
      <c r="N33" s="147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</row>
    <row r="34" spans="1:28" s="112" customFormat="1" ht="15.75" customHeight="1">
      <c r="A34" s="111"/>
      <c r="B34" s="307" t="s">
        <v>15</v>
      </c>
      <c r="C34" s="308"/>
      <c r="D34" s="308"/>
      <c r="E34" s="308"/>
      <c r="F34" s="308"/>
      <c r="G34" s="308"/>
      <c r="H34" s="308"/>
      <c r="I34" s="308"/>
      <c r="J34" s="308"/>
      <c r="K34" s="308"/>
      <c r="L34" s="309"/>
      <c r="M34" s="111"/>
      <c r="N34" s="146"/>
      <c r="O34" s="151"/>
      <c r="P34" s="15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</row>
    <row r="35" spans="1:28" s="112" customFormat="1" ht="15.75" customHeight="1">
      <c r="A35" s="111"/>
      <c r="B35" s="289" t="s">
        <v>16</v>
      </c>
      <c r="C35" s="290"/>
      <c r="D35" s="290"/>
      <c r="E35" s="290"/>
      <c r="F35" s="290"/>
      <c r="G35" s="290"/>
      <c r="H35" s="290"/>
      <c r="I35" s="290"/>
      <c r="J35" s="290"/>
      <c r="K35" s="290"/>
      <c r="L35" s="310"/>
      <c r="M35" s="111"/>
      <c r="N35" s="146"/>
      <c r="O35" s="151"/>
      <c r="P35" s="15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</row>
    <row r="36" spans="1:28" ht="15.75" customHeight="1">
      <c r="A36" s="106"/>
      <c r="B36" s="291"/>
      <c r="C36" s="292"/>
      <c r="D36" s="292"/>
      <c r="E36" s="292"/>
      <c r="F36" s="292"/>
      <c r="G36" s="292"/>
      <c r="H36" s="292"/>
      <c r="I36" s="292"/>
      <c r="J36" s="292"/>
      <c r="K36" s="292"/>
      <c r="L36" s="311"/>
      <c r="M36" s="106"/>
      <c r="N36" s="147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</row>
    <row r="37" spans="1:28" ht="15.75" customHeight="1">
      <c r="A37" s="106"/>
      <c r="B37" s="153" t="s">
        <v>17</v>
      </c>
      <c r="C37" s="165"/>
      <c r="D37" s="174"/>
      <c r="E37" s="165"/>
      <c r="F37" s="165"/>
      <c r="G37" s="165"/>
      <c r="H37" s="165"/>
      <c r="I37" s="165"/>
      <c r="J37" s="154"/>
      <c r="K37" s="154"/>
      <c r="L37" s="130" t="s">
        <v>2</v>
      </c>
      <c r="M37" s="147"/>
      <c r="N37" s="151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</row>
    <row r="38" spans="1:28" ht="15.75" customHeight="1">
      <c r="A38" s="106"/>
      <c r="B38" s="136" t="s">
        <v>180</v>
      </c>
      <c r="C38" s="166"/>
      <c r="D38" s="175"/>
      <c r="E38" s="166"/>
      <c r="F38" s="166"/>
      <c r="G38" s="166"/>
      <c r="H38" s="166"/>
      <c r="I38" s="166"/>
      <c r="J38" s="155"/>
      <c r="K38" s="155"/>
      <c r="L38" s="161">
        <v>0</v>
      </c>
      <c r="M38" s="147"/>
      <c r="N38" s="151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</row>
    <row r="39" spans="1:28" ht="15.75" customHeight="1">
      <c r="A39" s="106"/>
      <c r="B39" s="136" t="s">
        <v>181</v>
      </c>
      <c r="C39" s="166"/>
      <c r="D39" s="175"/>
      <c r="E39" s="166"/>
      <c r="F39" s="166"/>
      <c r="G39" s="166"/>
      <c r="H39" s="166"/>
      <c r="I39" s="166"/>
      <c r="J39" s="155"/>
      <c r="K39" s="155"/>
      <c r="L39" s="161">
        <v>0</v>
      </c>
      <c r="M39" s="147"/>
      <c r="N39" s="151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</row>
    <row r="40" spans="1:28" ht="15.75" customHeight="1">
      <c r="A40" s="106"/>
      <c r="B40" s="136" t="s">
        <v>132</v>
      </c>
      <c r="C40" s="166"/>
      <c r="D40" s="175"/>
      <c r="E40" s="166"/>
      <c r="F40" s="166"/>
      <c r="G40" s="166"/>
      <c r="H40" s="166"/>
      <c r="I40" s="166"/>
      <c r="J40" s="155"/>
      <c r="K40" s="155"/>
      <c r="L40" s="161">
        <v>0</v>
      </c>
      <c r="M40" s="147"/>
      <c r="N40" s="151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</row>
    <row r="41" spans="1:28" ht="15.75" customHeight="1">
      <c r="A41" s="106"/>
      <c r="B41" s="136" t="s">
        <v>20</v>
      </c>
      <c r="C41" s="166"/>
      <c r="D41" s="175"/>
      <c r="E41" s="166"/>
      <c r="F41" s="166"/>
      <c r="G41" s="166"/>
      <c r="H41" s="166"/>
      <c r="I41" s="166"/>
      <c r="J41" s="155"/>
      <c r="K41" s="155"/>
      <c r="L41" s="161">
        <v>217814.17</v>
      </c>
      <c r="M41" s="147"/>
      <c r="N41" s="151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</row>
    <row r="42" spans="1:28" ht="15.75" customHeight="1">
      <c r="A42" s="106"/>
      <c r="B42" s="136" t="s">
        <v>21</v>
      </c>
      <c r="C42" s="166"/>
      <c r="D42" s="175"/>
      <c r="E42" s="166"/>
      <c r="F42" s="166"/>
      <c r="G42" s="166"/>
      <c r="H42" s="166"/>
      <c r="I42" s="166"/>
      <c r="J42" s="155"/>
      <c r="K42" s="155"/>
      <c r="L42" s="161">
        <v>12374.7</v>
      </c>
      <c r="M42" s="147"/>
      <c r="N42" s="151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</row>
    <row r="43" spans="1:28" ht="15.75" customHeight="1">
      <c r="A43" s="106"/>
      <c r="B43" s="136" t="s">
        <v>22</v>
      </c>
      <c r="C43" s="166"/>
      <c r="D43" s="175"/>
      <c r="E43" s="166"/>
      <c r="F43" s="166"/>
      <c r="G43" s="166"/>
      <c r="H43" s="166"/>
      <c r="I43" s="166"/>
      <c r="J43" s="155"/>
      <c r="K43" s="155"/>
      <c r="L43" s="161">
        <v>159.81</v>
      </c>
      <c r="M43" s="147"/>
      <c r="N43" s="151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</row>
    <row r="44" spans="1:28" ht="15.75" customHeight="1">
      <c r="A44" s="106"/>
      <c r="B44" s="153" t="s">
        <v>23</v>
      </c>
      <c r="C44" s="165"/>
      <c r="D44" s="174"/>
      <c r="E44" s="165"/>
      <c r="F44" s="165"/>
      <c r="G44" s="165"/>
      <c r="H44" s="165"/>
      <c r="I44" s="165"/>
      <c r="J44" s="154"/>
      <c r="K44" s="154"/>
      <c r="L44" s="160">
        <f>SUM(L38:L43)</f>
        <v>230348.68000000002</v>
      </c>
      <c r="M44" s="147"/>
      <c r="N44" s="151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</row>
    <row r="45" spans="1:28" ht="15.75" customHeight="1">
      <c r="A45" s="106"/>
      <c r="B45" s="157"/>
      <c r="C45" s="106"/>
      <c r="D45" s="144"/>
      <c r="E45" s="106"/>
      <c r="F45" s="106"/>
      <c r="G45" s="106"/>
      <c r="H45" s="106"/>
      <c r="I45" s="106"/>
      <c r="J45" s="150"/>
      <c r="K45" s="150"/>
      <c r="L45" s="150"/>
      <c r="M45" s="147"/>
      <c r="N45" s="151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</row>
    <row r="46" spans="1:28" ht="15.75" customHeight="1">
      <c r="A46" s="106"/>
      <c r="B46" s="153" t="s">
        <v>24</v>
      </c>
      <c r="C46" s="165"/>
      <c r="D46" s="174"/>
      <c r="E46" s="165"/>
      <c r="F46" s="165"/>
      <c r="G46" s="165"/>
      <c r="H46" s="165"/>
      <c r="I46" s="165"/>
      <c r="J46" s="154"/>
      <c r="K46" s="154"/>
      <c r="L46" s="130" t="s">
        <v>2</v>
      </c>
      <c r="M46" s="147"/>
      <c r="N46" s="151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</row>
    <row r="47" spans="1:28" ht="15.75" customHeight="1">
      <c r="A47" s="106"/>
      <c r="B47" s="136" t="s">
        <v>200</v>
      </c>
      <c r="C47" s="166"/>
      <c r="D47" s="175"/>
      <c r="E47" s="166"/>
      <c r="F47" s="166"/>
      <c r="G47" s="166"/>
      <c r="H47" s="166"/>
      <c r="I47" s="166"/>
      <c r="J47" s="155"/>
      <c r="K47" s="155"/>
      <c r="L47" s="161">
        <v>10006913.43</v>
      </c>
      <c r="M47" s="148"/>
      <c r="N47" s="151"/>
      <c r="P47" s="108"/>
    </row>
    <row r="48" spans="1:28" ht="15.75" customHeight="1">
      <c r="A48" s="106"/>
      <c r="B48" s="136" t="s">
        <v>25</v>
      </c>
      <c r="C48" s="166"/>
      <c r="D48" s="175"/>
      <c r="E48" s="166"/>
      <c r="F48" s="166"/>
      <c r="G48" s="166"/>
      <c r="H48" s="166"/>
      <c r="I48" s="166"/>
      <c r="J48" s="155"/>
      <c r="K48" s="155"/>
      <c r="L48" s="161">
        <v>35278243.729999997</v>
      </c>
      <c r="M48" s="148"/>
      <c r="N48" s="151"/>
      <c r="P48" s="108"/>
    </row>
    <row r="49" spans="2:16" ht="15.75" customHeight="1">
      <c r="B49" s="136" t="s">
        <v>26</v>
      </c>
      <c r="C49" s="166"/>
      <c r="D49" s="175"/>
      <c r="E49" s="166"/>
      <c r="F49" s="166"/>
      <c r="G49" s="166"/>
      <c r="H49" s="166"/>
      <c r="I49" s="166"/>
      <c r="J49" s="155"/>
      <c r="K49" s="155"/>
      <c r="L49" s="161">
        <v>9741612.9000000004</v>
      </c>
      <c r="M49" s="148"/>
      <c r="N49" s="151"/>
      <c r="P49" s="108"/>
    </row>
    <row r="50" spans="2:16" ht="15.75" customHeight="1">
      <c r="B50" s="136" t="s">
        <v>131</v>
      </c>
      <c r="C50" s="166"/>
      <c r="D50" s="175"/>
      <c r="E50" s="166"/>
      <c r="F50" s="166"/>
      <c r="G50" s="166"/>
      <c r="H50" s="166"/>
      <c r="I50" s="166"/>
      <c r="J50" s="155"/>
      <c r="K50" s="155"/>
      <c r="L50" s="161">
        <v>231928.43</v>
      </c>
      <c r="M50" s="148"/>
      <c r="N50" s="151"/>
      <c r="P50" s="108"/>
    </row>
    <row r="51" spans="2:16" ht="15.75" customHeight="1">
      <c r="B51" s="153" t="s">
        <v>28</v>
      </c>
      <c r="C51" s="165"/>
      <c r="D51" s="174"/>
      <c r="E51" s="165"/>
      <c r="F51" s="165"/>
      <c r="G51" s="165"/>
      <c r="H51" s="165"/>
      <c r="I51" s="165"/>
      <c r="J51" s="154"/>
      <c r="K51" s="154"/>
      <c r="L51" s="160">
        <f>SUM(L47:L50)-L44</f>
        <v>55028349.809999995</v>
      </c>
      <c r="M51" s="148"/>
      <c r="N51" s="151"/>
      <c r="P51" s="108"/>
    </row>
    <row r="52" spans="2:16" ht="15.75" customHeight="1">
      <c r="B52" s="158"/>
      <c r="C52" s="131"/>
      <c r="D52" s="176"/>
      <c r="E52" s="131"/>
      <c r="F52" s="131"/>
      <c r="G52" s="131"/>
      <c r="H52" s="131"/>
      <c r="I52" s="131"/>
      <c r="J52" s="132"/>
      <c r="K52" s="132"/>
      <c r="L52" s="155"/>
      <c r="M52" s="148"/>
      <c r="N52" s="151"/>
      <c r="P52" s="108"/>
    </row>
    <row r="53" spans="2:16" ht="15.75" customHeight="1">
      <c r="B53" s="133" t="s">
        <v>29</v>
      </c>
      <c r="C53" s="167"/>
      <c r="D53" s="177"/>
      <c r="E53" s="167"/>
      <c r="F53" s="167"/>
      <c r="G53" s="167"/>
      <c r="H53" s="167"/>
      <c r="I53" s="167"/>
      <c r="J53" s="156"/>
      <c r="K53" s="156"/>
      <c r="L53" s="162">
        <f>L51+L44</f>
        <v>55258698.489999995</v>
      </c>
      <c r="M53" s="148"/>
      <c r="N53" s="151"/>
      <c r="P53" s="108"/>
    </row>
    <row r="54" spans="2:16" ht="15.75" customHeight="1">
      <c r="B54" s="106"/>
      <c r="C54" s="106"/>
      <c r="D54" s="147"/>
      <c r="E54" s="106"/>
      <c r="F54" s="106"/>
      <c r="G54" s="106"/>
      <c r="H54" s="106"/>
      <c r="I54" s="106"/>
      <c r="J54" s="109"/>
      <c r="K54" s="109"/>
      <c r="L54" s="109"/>
    </row>
    <row r="55" spans="2:16" ht="15.75" customHeight="1">
      <c r="B55" s="106"/>
      <c r="C55" s="106"/>
      <c r="D55" s="147"/>
      <c r="E55" s="106"/>
      <c r="F55" s="106"/>
      <c r="G55" s="106"/>
      <c r="H55" s="106"/>
      <c r="I55" s="106"/>
      <c r="J55" s="109"/>
      <c r="K55" s="109"/>
      <c r="L55" s="109"/>
    </row>
    <row r="56" spans="2:16" ht="15.75" customHeight="1">
      <c r="B56" s="106"/>
      <c r="C56" s="106"/>
      <c r="D56" s="147"/>
      <c r="E56" s="106"/>
      <c r="F56" s="106"/>
      <c r="G56" s="106"/>
      <c r="H56" s="106"/>
      <c r="I56" s="106"/>
      <c r="J56" s="109"/>
      <c r="K56" s="109"/>
      <c r="L56" s="109"/>
    </row>
    <row r="57" spans="2:16" ht="15.75" customHeight="1">
      <c r="B57" s="106"/>
      <c r="C57" s="106"/>
      <c r="D57" s="147"/>
      <c r="E57" s="106"/>
      <c r="F57" s="106"/>
      <c r="G57" s="106"/>
      <c r="H57" s="106"/>
      <c r="I57" s="106"/>
      <c r="J57" s="109"/>
      <c r="K57" s="109"/>
      <c r="L57" s="109"/>
    </row>
    <row r="58" spans="2:16" ht="15.75" customHeight="1">
      <c r="B58" s="106"/>
      <c r="C58" s="106"/>
      <c r="D58" s="147"/>
      <c r="E58" s="106"/>
      <c r="F58" s="106"/>
      <c r="G58" s="106"/>
      <c r="H58" s="106"/>
      <c r="I58" s="106"/>
      <c r="J58" s="109"/>
      <c r="K58" s="109"/>
      <c r="L58" s="109"/>
    </row>
    <row r="59" spans="2:16" ht="15.75" customHeight="1">
      <c r="B59" s="106"/>
      <c r="C59" s="106"/>
      <c r="D59" s="144"/>
      <c r="E59" s="106"/>
      <c r="F59" s="106"/>
      <c r="G59" s="106"/>
      <c r="H59" s="106"/>
      <c r="I59" s="106"/>
      <c r="J59" s="106"/>
      <c r="K59" s="106"/>
    </row>
    <row r="60" spans="2:16" ht="15.75" customHeight="1">
      <c r="B60" s="106"/>
      <c r="C60" s="106"/>
      <c r="D60" s="144"/>
      <c r="E60" s="106"/>
      <c r="F60" s="106"/>
      <c r="G60" s="106"/>
      <c r="H60" s="106"/>
      <c r="I60" s="106"/>
      <c r="J60" s="106"/>
      <c r="K60" s="106"/>
    </row>
    <row r="61" spans="2:16" ht="15.75" customHeight="1">
      <c r="B61" s="106"/>
      <c r="C61" s="106"/>
      <c r="D61" s="144"/>
      <c r="E61" s="106"/>
      <c r="F61" s="106"/>
      <c r="G61" s="106"/>
      <c r="H61" s="106"/>
      <c r="I61" s="106"/>
      <c r="J61" s="106"/>
      <c r="K61" s="106"/>
    </row>
  </sheetData>
  <mergeCells count="5">
    <mergeCell ref="B3:L3"/>
    <mergeCell ref="B7:L8"/>
    <mergeCell ref="B23:L24"/>
    <mergeCell ref="B34:L34"/>
    <mergeCell ref="B35:L36"/>
  </mergeCells>
  <pageMargins left="0.25" right="0.25" top="0.75" bottom="0.75" header="0.3" footer="0.3"/>
  <pageSetup paperSize="9" scale="31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63"/>
  <sheetViews>
    <sheetView showGridLines="0" workbookViewId="0">
      <selection activeCell="D26" sqref="D26:M30"/>
    </sheetView>
  </sheetViews>
  <sheetFormatPr defaultRowHeight="15.75" customHeight="1"/>
  <cols>
    <col min="1" max="1" width="15.5703125" style="108" customWidth="1"/>
    <col min="2" max="2" width="67.7109375" style="108" bestFit="1" customWidth="1"/>
    <col min="3" max="4" width="18.7109375" style="108" bestFit="1" customWidth="1"/>
    <col min="5" max="5" width="20.7109375" style="148" customWidth="1"/>
    <col min="6" max="6" width="20.7109375" style="108" customWidth="1"/>
    <col min="7" max="7" width="19.5703125" style="108" bestFit="1" customWidth="1"/>
    <col min="8" max="9" width="18.7109375" style="108" bestFit="1" customWidth="1"/>
    <col min="10" max="10" width="21.42578125" style="108" customWidth="1"/>
    <col min="11" max="13" width="20" style="108" bestFit="1" customWidth="1"/>
    <col min="14" max="14" width="6.85546875" style="108" customWidth="1"/>
    <col min="15" max="15" width="18.42578125" style="148" bestFit="1" customWidth="1"/>
    <col min="16" max="16" width="14.7109375" style="151" bestFit="1" customWidth="1"/>
    <col min="17" max="17" width="13.5703125" style="151" bestFit="1" customWidth="1"/>
    <col min="18" max="29" width="9.5703125" style="108" customWidth="1"/>
    <col min="30" max="1033" width="9.42578125" style="108" customWidth="1"/>
    <col min="1034" max="16384" width="9.140625" style="108"/>
  </cols>
  <sheetData>
    <row r="1" spans="1:29" ht="15.75" customHeight="1">
      <c r="A1" s="106" t="s">
        <v>118</v>
      </c>
      <c r="B1" s="106"/>
      <c r="C1" s="106"/>
      <c r="D1" s="106"/>
      <c r="E1" s="144"/>
      <c r="F1" s="106"/>
      <c r="G1" s="106"/>
      <c r="H1" s="106"/>
      <c r="I1" s="106"/>
      <c r="J1" s="106"/>
      <c r="K1" s="109"/>
      <c r="L1" s="109"/>
      <c r="M1" s="109"/>
      <c r="N1" s="106"/>
      <c r="O1" s="144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</row>
    <row r="2" spans="1:29" ht="15.75" customHeight="1">
      <c r="A2" s="106"/>
      <c r="B2" s="106"/>
      <c r="C2" s="106"/>
      <c r="D2" s="106"/>
      <c r="E2" s="144"/>
      <c r="F2" s="106"/>
      <c r="G2" s="106"/>
      <c r="H2" s="106"/>
      <c r="I2" s="106"/>
      <c r="J2" s="106"/>
      <c r="K2" s="109"/>
      <c r="L2" s="109"/>
      <c r="M2" s="109"/>
      <c r="N2" s="106"/>
      <c r="O2" s="144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</row>
    <row r="3" spans="1:29" ht="15.75" customHeight="1">
      <c r="A3" s="106"/>
      <c r="B3" s="312" t="s">
        <v>173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106"/>
      <c r="O3" s="144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</row>
    <row r="4" spans="1:29" ht="15.75" customHeight="1">
      <c r="A4" s="106"/>
      <c r="B4" s="106"/>
      <c r="C4" s="106"/>
      <c r="D4" s="106"/>
      <c r="E4" s="144"/>
      <c r="F4" s="106"/>
      <c r="G4" s="106"/>
      <c r="H4" s="106"/>
      <c r="I4" s="106"/>
      <c r="J4" s="106"/>
      <c r="K4" s="109"/>
      <c r="L4" s="109"/>
      <c r="M4" s="109"/>
      <c r="N4" s="106"/>
      <c r="O4" s="144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</row>
    <row r="5" spans="1:29" ht="15.75" customHeight="1">
      <c r="A5" s="106"/>
      <c r="B5" s="106"/>
      <c r="C5" s="106"/>
      <c r="D5" s="106"/>
      <c r="E5" s="144"/>
      <c r="F5" s="106"/>
      <c r="G5" s="106"/>
      <c r="H5" s="106"/>
      <c r="I5" s="106"/>
      <c r="J5" s="106"/>
      <c r="K5" s="109"/>
      <c r="L5" s="109"/>
      <c r="M5" s="109"/>
      <c r="N5" s="106"/>
      <c r="O5" s="144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</row>
    <row r="6" spans="1:29" s="141" customFormat="1" ht="24.95" customHeight="1">
      <c r="A6" s="140"/>
      <c r="B6" s="139" t="s">
        <v>0</v>
      </c>
      <c r="C6" s="139" t="s">
        <v>101</v>
      </c>
      <c r="D6" s="139" t="s">
        <v>90</v>
      </c>
      <c r="E6" s="173" t="s">
        <v>85</v>
      </c>
      <c r="F6" s="139" t="s">
        <v>77</v>
      </c>
      <c r="G6" s="139" t="s">
        <v>69</v>
      </c>
      <c r="H6" s="139" t="s">
        <v>61</v>
      </c>
      <c r="I6" s="139" t="s">
        <v>53</v>
      </c>
      <c r="J6" s="139" t="s">
        <v>44</v>
      </c>
      <c r="K6" s="139" t="s">
        <v>151</v>
      </c>
      <c r="L6" s="139" t="s">
        <v>31</v>
      </c>
      <c r="M6" s="139">
        <v>2022</v>
      </c>
      <c r="N6" s="140"/>
      <c r="O6" s="145"/>
      <c r="P6" s="151"/>
      <c r="Q6" s="151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</row>
    <row r="7" spans="1:29" s="112" customFormat="1" ht="15.75" customHeight="1">
      <c r="A7" s="111"/>
      <c r="B7" s="289" t="s">
        <v>127</v>
      </c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111"/>
      <c r="O7" s="146"/>
      <c r="P7" s="151"/>
      <c r="Q7" s="15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</row>
    <row r="8" spans="1:29" s="142" customFormat="1" ht="15.75" customHeight="1">
      <c r="A8" s="111"/>
      <c r="B8" s="291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111"/>
      <c r="O8" s="146"/>
      <c r="P8" s="151"/>
      <c r="Q8" s="15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</row>
    <row r="9" spans="1:29" s="142" customFormat="1" ht="15.75" customHeight="1">
      <c r="A9" s="111"/>
      <c r="B9" s="118" t="s">
        <v>120</v>
      </c>
      <c r="C9" s="178" t="s">
        <v>2</v>
      </c>
      <c r="D9" s="11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8" t="s">
        <v>2</v>
      </c>
      <c r="M9" s="118" t="s">
        <v>2</v>
      </c>
      <c r="N9" s="111"/>
      <c r="O9" s="146"/>
      <c r="P9" s="151"/>
      <c r="Q9" s="15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</row>
    <row r="10" spans="1:29" ht="17.100000000000001" customHeight="1">
      <c r="A10" s="106"/>
      <c r="B10" s="136" t="s">
        <v>3</v>
      </c>
      <c r="C10" s="168">
        <v>607654.94999999995</v>
      </c>
      <c r="D10" s="168">
        <v>635941.19999999995</v>
      </c>
      <c r="E10" s="168">
        <v>597854.14</v>
      </c>
      <c r="F10" s="168">
        <v>595267.09</v>
      </c>
      <c r="G10" s="168">
        <v>727581.54</v>
      </c>
      <c r="H10" s="168">
        <v>524966.87</v>
      </c>
      <c r="I10" s="168">
        <v>535990.88</v>
      </c>
      <c r="J10" s="168">
        <v>636880.65</v>
      </c>
      <c r="K10" s="138">
        <v>358179.72</v>
      </c>
      <c r="L10" s="138">
        <f>467985.07+2546.27</f>
        <v>470531.34</v>
      </c>
      <c r="M10" s="138">
        <f t="shared" ref="M10:M20" si="0">SUM(C10:L10)</f>
        <v>5690848.3799999999</v>
      </c>
      <c r="N10" s="106"/>
      <c r="O10" s="147"/>
      <c r="P10" s="152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</row>
    <row r="11" spans="1:29" ht="17.100000000000001" customHeight="1">
      <c r="A11" s="106"/>
      <c r="B11" s="136" t="s">
        <v>4</v>
      </c>
      <c r="C11" s="182">
        <v>386739.3</v>
      </c>
      <c r="D11" s="168">
        <v>404739.76</v>
      </c>
      <c r="E11" s="169">
        <v>380502.6</v>
      </c>
      <c r="F11" s="169">
        <v>378856.21</v>
      </c>
      <c r="G11" s="169">
        <v>463056.11</v>
      </c>
      <c r="H11" s="169">
        <v>487801.26</v>
      </c>
      <c r="I11" s="169">
        <v>189358.6</v>
      </c>
      <c r="J11" s="169">
        <v>405387.8</v>
      </c>
      <c r="K11" s="135">
        <v>227932.55</v>
      </c>
      <c r="L11" s="135">
        <v>452327.34</v>
      </c>
      <c r="M11" s="138">
        <f t="shared" si="0"/>
        <v>3776701.53</v>
      </c>
      <c r="N11" s="106"/>
      <c r="O11" s="147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</row>
    <row r="12" spans="1:29" ht="17.100000000000001" customHeight="1">
      <c r="A12" s="106"/>
      <c r="B12" s="114" t="s">
        <v>214</v>
      </c>
      <c r="C12" s="171">
        <v>263303.75</v>
      </c>
      <c r="D12" s="171">
        <v>263303.75</v>
      </c>
      <c r="E12" s="171">
        <v>263303.75</v>
      </c>
      <c r="F12" s="171">
        <v>263303.75</v>
      </c>
      <c r="G12" s="171">
        <v>263303.75</v>
      </c>
      <c r="H12" s="171">
        <v>126693.92</v>
      </c>
      <c r="I12" s="171">
        <v>126693.92</v>
      </c>
      <c r="J12" s="170">
        <v>126693.92</v>
      </c>
      <c r="K12" s="115">
        <v>126693.92</v>
      </c>
      <c r="L12" s="115">
        <v>126693.92</v>
      </c>
      <c r="M12" s="138">
        <f t="shared" si="0"/>
        <v>1949988.3499999996</v>
      </c>
      <c r="N12" s="106"/>
      <c r="O12" s="147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</row>
    <row r="13" spans="1:29" ht="17.100000000000001" customHeight="1">
      <c r="A13" s="106"/>
      <c r="B13" s="114" t="s">
        <v>6</v>
      </c>
      <c r="C13" s="171">
        <v>681937.77</v>
      </c>
      <c r="D13" s="171">
        <v>404682.47</v>
      </c>
      <c r="E13" s="171">
        <v>676344.82</v>
      </c>
      <c r="F13" s="171">
        <v>421416.32</v>
      </c>
      <c r="G13" s="171">
        <v>-84090.74</v>
      </c>
      <c r="H13" s="171">
        <v>505838.52</v>
      </c>
      <c r="I13" s="171">
        <v>16001.38</v>
      </c>
      <c r="J13" s="171">
        <v>809918.94</v>
      </c>
      <c r="K13" s="115">
        <v>98226.79</v>
      </c>
      <c r="L13" s="115">
        <v>38967.99</v>
      </c>
      <c r="M13" s="138">
        <f t="shared" si="0"/>
        <v>3569244.26</v>
      </c>
      <c r="O13" s="147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</row>
    <row r="14" spans="1:29" ht="17.100000000000001" customHeight="1">
      <c r="A14" s="106"/>
      <c r="B14" s="114" t="s">
        <v>215</v>
      </c>
      <c r="C14" s="171">
        <v>57441.41</v>
      </c>
      <c r="D14" s="171">
        <f>57964.94+57617.15</f>
        <v>115582.09</v>
      </c>
      <c r="E14" s="171">
        <v>0</v>
      </c>
      <c r="F14" s="171">
        <v>57607.77</v>
      </c>
      <c r="G14" s="171">
        <v>57349.7</v>
      </c>
      <c r="H14" s="171">
        <v>56759.4</v>
      </c>
      <c r="I14" s="171">
        <v>55805.13</v>
      </c>
      <c r="J14" s="171">
        <v>55252.6</v>
      </c>
      <c r="K14" s="115">
        <v>54884.88</v>
      </c>
      <c r="L14" s="115">
        <v>54487.12</v>
      </c>
      <c r="M14" s="138">
        <f t="shared" si="0"/>
        <v>565170.1</v>
      </c>
      <c r="N14" s="106"/>
      <c r="O14" s="147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</row>
    <row r="15" spans="1:29" ht="17.100000000000001" customHeight="1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15">
        <v>23811.51</v>
      </c>
      <c r="M15" s="138">
        <f t="shared" si="0"/>
        <v>23811.51</v>
      </c>
      <c r="N15" s="106"/>
      <c r="O15" s="147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</row>
    <row r="16" spans="1:29" ht="17.100000000000001" customHeight="1">
      <c r="A16" s="106"/>
      <c r="B16" s="114" t="s">
        <v>216</v>
      </c>
      <c r="C16" s="179">
        <v>12961.2</v>
      </c>
      <c r="D16" s="171">
        <v>12936.32</v>
      </c>
      <c r="E16" s="171">
        <v>12949.78</v>
      </c>
      <c r="F16" s="171">
        <v>12742.8</v>
      </c>
      <c r="G16" s="171">
        <v>12621.89</v>
      </c>
      <c r="H16" s="171">
        <v>12430.62</v>
      </c>
      <c r="I16" s="171">
        <v>12368.92</v>
      </c>
      <c r="J16" s="171">
        <v>11980.7</v>
      </c>
      <c r="K16" s="115">
        <v>11840.9</v>
      </c>
      <c r="L16" s="115">
        <v>11697.01</v>
      </c>
      <c r="M16" s="138">
        <f t="shared" si="0"/>
        <v>124530.13999999998</v>
      </c>
      <c r="N16" s="106"/>
      <c r="O16" s="147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</row>
    <row r="17" spans="1:29" ht="17.100000000000001" customHeight="1">
      <c r="A17" s="106"/>
      <c r="B17" s="114" t="s">
        <v>217</v>
      </c>
      <c r="C17" s="179">
        <v>5403.56</v>
      </c>
      <c r="D17" s="171">
        <v>5393.18</v>
      </c>
      <c r="E17" s="171">
        <v>5398.8</v>
      </c>
      <c r="F17" s="171">
        <v>5312.52</v>
      </c>
      <c r="G17" s="171">
        <v>5262.12</v>
      </c>
      <c r="H17" s="171">
        <v>5182.37</v>
      </c>
      <c r="I17" s="171">
        <v>5156.6499999999996</v>
      </c>
      <c r="J17" s="171">
        <v>4994.8</v>
      </c>
      <c r="K17" s="115">
        <v>4936.5200000000004</v>
      </c>
      <c r="L17" s="115">
        <v>4876.53</v>
      </c>
      <c r="M17" s="138">
        <f t="shared" si="0"/>
        <v>51917.05</v>
      </c>
      <c r="N17" s="106"/>
      <c r="O17" s="147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</row>
    <row r="18" spans="1:29" ht="17.100000000000001" customHeight="1">
      <c r="A18" s="106"/>
      <c r="B18" s="114" t="s">
        <v>218</v>
      </c>
      <c r="C18" s="179">
        <v>18512.490000000002</v>
      </c>
      <c r="D18" s="171">
        <v>18476.41</v>
      </c>
      <c r="E18" s="171">
        <v>18497.71</v>
      </c>
      <c r="F18" s="171">
        <v>18201.28</v>
      </c>
      <c r="G18" s="171">
        <v>18028.2</v>
      </c>
      <c r="H18" s="171">
        <v>17753.55</v>
      </c>
      <c r="I18" s="171">
        <v>17665.8</v>
      </c>
      <c r="J18" s="171">
        <v>17111.64</v>
      </c>
      <c r="K18" s="115">
        <v>17026.22</v>
      </c>
      <c r="L18" s="115">
        <v>16706.07</v>
      </c>
      <c r="M18" s="138">
        <f t="shared" si="0"/>
        <v>177979.37000000002</v>
      </c>
      <c r="N18" s="106"/>
      <c r="O18" s="147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</row>
    <row r="19" spans="1:29" ht="17.100000000000001" customHeight="1">
      <c r="A19" s="106"/>
      <c r="B19" s="114" t="s">
        <v>178</v>
      </c>
      <c r="C19" s="171">
        <v>7701.38</v>
      </c>
      <c r="D19" s="171">
        <v>11242.71</v>
      </c>
      <c r="E19" s="171">
        <v>11242.71</v>
      </c>
      <c r="F19" s="171">
        <v>11242.71</v>
      </c>
      <c r="G19" s="171">
        <v>11242.71</v>
      </c>
      <c r="H19" s="171">
        <v>11242.71</v>
      </c>
      <c r="I19" s="171">
        <v>82684.009999999995</v>
      </c>
      <c r="J19" s="171">
        <v>11242.71</v>
      </c>
      <c r="K19" s="115">
        <v>0</v>
      </c>
      <c r="L19" s="115">
        <v>0</v>
      </c>
      <c r="M19" s="138">
        <f t="shared" si="0"/>
        <v>157841.65</v>
      </c>
      <c r="N19" s="106"/>
      <c r="O19" s="147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</row>
    <row r="20" spans="1:29" ht="17.100000000000001" customHeight="1">
      <c r="A20" s="106"/>
      <c r="B20" s="114" t="s">
        <v>192</v>
      </c>
      <c r="C20" s="171">
        <v>0</v>
      </c>
      <c r="D20" s="171">
        <f>1168.12+1943.36</f>
        <v>3111.4799999999996</v>
      </c>
      <c r="E20" s="171">
        <f>1168.12+1943.36</f>
        <v>3111.4799999999996</v>
      </c>
      <c r="F20" s="171">
        <f>1168.12+1943.36</f>
        <v>3111.4799999999996</v>
      </c>
      <c r="G20" s="171">
        <f>1168.12+1943.36</f>
        <v>3111.4799999999996</v>
      </c>
      <c r="H20" s="171">
        <f>(1168.12*2)+(1943.36*2)</f>
        <v>6222.9599999999991</v>
      </c>
      <c r="I20" s="171">
        <v>0</v>
      </c>
      <c r="J20" s="171">
        <v>15557.47</v>
      </c>
      <c r="K20" s="115">
        <v>1168.1199999999999</v>
      </c>
      <c r="L20" s="115">
        <v>3231.48</v>
      </c>
      <c r="M20" s="138">
        <f t="shared" si="0"/>
        <v>38625.950000000004</v>
      </c>
      <c r="N20" s="106"/>
      <c r="O20" s="147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</row>
    <row r="21" spans="1:29" s="112" customFormat="1" ht="15.75" customHeight="1">
      <c r="A21" s="111"/>
      <c r="B21" s="116" t="s">
        <v>9</v>
      </c>
      <c r="C21" s="117">
        <f t="shared" ref="C21" si="1">SUM(C10:C20)</f>
        <v>2041655.8099999998</v>
      </c>
      <c r="D21" s="117">
        <f t="shared" ref="D21:L21" si="2">SUM(D10:D20)</f>
        <v>1875409.3699999999</v>
      </c>
      <c r="E21" s="117">
        <f t="shared" si="2"/>
        <v>1969205.79</v>
      </c>
      <c r="F21" s="117">
        <f t="shared" si="2"/>
        <v>1767061.9300000002</v>
      </c>
      <c r="G21" s="117">
        <f t="shared" si="2"/>
        <v>1477466.7599999998</v>
      </c>
      <c r="H21" s="117">
        <f t="shared" si="2"/>
        <v>1754892.1800000002</v>
      </c>
      <c r="I21" s="117">
        <f t="shared" si="2"/>
        <v>1041725.2900000002</v>
      </c>
      <c r="J21" s="117">
        <f t="shared" si="2"/>
        <v>2095021.2299999997</v>
      </c>
      <c r="K21" s="117">
        <f t="shared" si="2"/>
        <v>900889.62000000011</v>
      </c>
      <c r="L21" s="117">
        <f t="shared" si="2"/>
        <v>1203330.3100000003</v>
      </c>
      <c r="M21" s="117">
        <f>SUM(M10:M20)</f>
        <v>16126658.289999999</v>
      </c>
      <c r="N21" s="111"/>
      <c r="O21" s="146"/>
      <c r="P21" s="151"/>
      <c r="Q21" s="15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</row>
    <row r="22" spans="1:29" ht="15.75" customHeight="1">
      <c r="A22" s="106"/>
      <c r="B22" s="106"/>
      <c r="C22" s="143"/>
      <c r="D22" s="106"/>
      <c r="E22" s="181"/>
      <c r="F22" s="106"/>
      <c r="G22" s="106"/>
      <c r="H22" s="106"/>
      <c r="I22" s="106"/>
      <c r="J22" s="106"/>
      <c r="K22" s="109"/>
      <c r="L22" s="109"/>
      <c r="M22" s="109"/>
      <c r="N22" s="106"/>
      <c r="O22" s="147" t="s">
        <v>118</v>
      </c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</row>
    <row r="23" spans="1:29" s="112" customFormat="1" ht="15.75" customHeight="1">
      <c r="A23" s="111"/>
      <c r="B23" s="289" t="s">
        <v>128</v>
      </c>
      <c r="C23" s="290"/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111"/>
      <c r="O23" s="146"/>
      <c r="P23" s="151"/>
      <c r="Q23" s="15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</row>
    <row r="24" spans="1:29" ht="15.75" customHeight="1">
      <c r="A24" s="106"/>
      <c r="B24" s="291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106"/>
      <c r="O24" s="147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</row>
    <row r="25" spans="1:29" ht="17.100000000000001" customHeight="1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18" t="s">
        <v>2</v>
      </c>
      <c r="M25" s="118" t="s">
        <v>2</v>
      </c>
      <c r="N25" s="106"/>
      <c r="O25" s="147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</row>
    <row r="26" spans="1:29" ht="17.100000000000001" customHeight="1">
      <c r="A26" s="106"/>
      <c r="B26" s="114" t="s">
        <v>207</v>
      </c>
      <c r="C26" s="171">
        <v>628298.59</v>
      </c>
      <c r="D26" s="171">
        <v>621961.06000000006</v>
      </c>
      <c r="E26" s="179">
        <v>615746.06999999995</v>
      </c>
      <c r="F26" s="171">
        <v>617621.43000000005</v>
      </c>
      <c r="G26" s="179">
        <v>925293.45</v>
      </c>
      <c r="H26" s="179">
        <v>755023.19</v>
      </c>
      <c r="I26" s="179">
        <v>548127.35</v>
      </c>
      <c r="J26" s="179">
        <v>542075.24</v>
      </c>
      <c r="K26" s="189">
        <v>495470.49</v>
      </c>
      <c r="L26" s="115">
        <v>487626.13</v>
      </c>
      <c r="M26" s="115">
        <f>SUM(A26:L26)</f>
        <v>6237243</v>
      </c>
      <c r="N26" s="106"/>
      <c r="O26" s="147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</row>
    <row r="27" spans="1:29" ht="17.100000000000001" customHeight="1">
      <c r="A27" s="106"/>
      <c r="B27" s="114" t="s">
        <v>150</v>
      </c>
      <c r="C27" s="171">
        <v>66848.59</v>
      </c>
      <c r="D27" s="171">
        <v>66848.59</v>
      </c>
      <c r="E27" s="179">
        <v>69264.009999999995</v>
      </c>
      <c r="F27" s="171">
        <v>64433.17</v>
      </c>
      <c r="G27" s="179">
        <v>97154.79</v>
      </c>
      <c r="H27" s="179">
        <v>67044.08</v>
      </c>
      <c r="I27" s="179">
        <v>64945.72</v>
      </c>
      <c r="J27" s="179">
        <v>64945.72</v>
      </c>
      <c r="K27" s="189">
        <v>63584.02</v>
      </c>
      <c r="L27" s="115">
        <v>65481.06</v>
      </c>
      <c r="M27" s="115">
        <f>SUM(A27:L27)</f>
        <v>690549.75</v>
      </c>
      <c r="N27" s="106"/>
      <c r="O27" s="147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</row>
    <row r="28" spans="1:29" ht="17.100000000000001" customHeight="1">
      <c r="A28" s="106"/>
      <c r="B28" s="114" t="s">
        <v>171</v>
      </c>
      <c r="C28" s="172">
        <v>37053.96</v>
      </c>
      <c r="D28" s="191">
        <v>37429.24</v>
      </c>
      <c r="E28" s="191">
        <v>36658.53</v>
      </c>
      <c r="F28" s="191">
        <v>38537.58</v>
      </c>
      <c r="G28" s="191">
        <v>46269.5</v>
      </c>
      <c r="H28" s="191">
        <v>40256.519999999997</v>
      </c>
      <c r="I28" s="191">
        <v>27034.39</v>
      </c>
      <c r="J28" s="191">
        <v>24052.01</v>
      </c>
      <c r="K28" s="190">
        <v>21886.080000000002</v>
      </c>
      <c r="L28" s="119">
        <v>17676.18</v>
      </c>
      <c r="M28" s="115">
        <f>SUM(A28:L28)</f>
        <v>326853.99</v>
      </c>
      <c r="N28" s="106"/>
      <c r="O28" s="147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</row>
    <row r="29" spans="1:29" ht="17.100000000000001" customHeight="1">
      <c r="A29" s="106"/>
      <c r="B29" s="114" t="s">
        <v>193</v>
      </c>
      <c r="C29" s="171">
        <v>4818.75</v>
      </c>
      <c r="D29" s="171">
        <f>1531.08</f>
        <v>1531.08</v>
      </c>
      <c r="E29" s="179">
        <f>1531.08</f>
        <v>1531.08</v>
      </c>
      <c r="F29" s="179">
        <v>1277.42</v>
      </c>
      <c r="G29" s="179">
        <f>1531.08</f>
        <v>1531.08</v>
      </c>
      <c r="H29" s="179">
        <v>16262.03</v>
      </c>
      <c r="I29" s="179">
        <v>0</v>
      </c>
      <c r="J29" s="179">
        <v>0</v>
      </c>
      <c r="K29" s="189">
        <v>0</v>
      </c>
      <c r="L29" s="115">
        <v>0</v>
      </c>
      <c r="M29" s="115">
        <f>SUM(A29:L29)</f>
        <v>26951.440000000002</v>
      </c>
      <c r="N29" s="106"/>
      <c r="O29" s="147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</row>
    <row r="30" spans="1:29" ht="17.100000000000001" customHeight="1">
      <c r="A30" s="106"/>
      <c r="B30" s="114" t="s">
        <v>130</v>
      </c>
      <c r="C30" s="172">
        <f>779493.31-C26-C27-C28-C29</f>
        <v>42473.420000000093</v>
      </c>
      <c r="D30" s="172">
        <v>45044</v>
      </c>
      <c r="E30" s="191">
        <v>76149.100000000006</v>
      </c>
      <c r="F30" s="172">
        <v>46552.78</v>
      </c>
      <c r="G30" s="191">
        <v>89171.65</v>
      </c>
      <c r="H30" s="191">
        <v>37362.04</v>
      </c>
      <c r="I30" s="191">
        <v>55560.09</v>
      </c>
      <c r="J30" s="191">
        <v>22252.83</v>
      </c>
      <c r="K30" s="190">
        <v>14595.13</v>
      </c>
      <c r="L30" s="119">
        <v>7086.12</v>
      </c>
      <c r="M30" s="115">
        <f>SUM(A30:L30)</f>
        <v>436247.16000000009</v>
      </c>
      <c r="N30" s="106"/>
      <c r="O30" s="147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</row>
    <row r="31" spans="1:29" s="112" customFormat="1" ht="17.100000000000001" customHeight="1">
      <c r="A31" s="111"/>
      <c r="B31" s="120" t="s">
        <v>84</v>
      </c>
      <c r="C31" s="121">
        <f t="shared" ref="C31" si="3">SUM(C26:C30)</f>
        <v>779493.30999999994</v>
      </c>
      <c r="D31" s="121">
        <f t="shared" ref="D31:L31" si="4">SUM(D26:D30)</f>
        <v>772813.97</v>
      </c>
      <c r="E31" s="121">
        <f t="shared" si="4"/>
        <v>799348.78999999992</v>
      </c>
      <c r="F31" s="121">
        <f t="shared" si="4"/>
        <v>768422.38000000012</v>
      </c>
      <c r="G31" s="121">
        <f t="shared" si="4"/>
        <v>1159420.47</v>
      </c>
      <c r="H31" s="121">
        <f t="shared" si="4"/>
        <v>915947.86</v>
      </c>
      <c r="I31" s="121">
        <f t="shared" si="4"/>
        <v>695667.54999999993</v>
      </c>
      <c r="J31" s="121">
        <f t="shared" si="4"/>
        <v>653325.79999999993</v>
      </c>
      <c r="K31" s="121">
        <f t="shared" si="4"/>
        <v>595535.72</v>
      </c>
      <c r="L31" s="121">
        <f t="shared" si="4"/>
        <v>577869.49</v>
      </c>
      <c r="M31" s="121">
        <f>SUM(M26:M30)</f>
        <v>7717845.3400000008</v>
      </c>
      <c r="N31" s="111"/>
      <c r="O31" s="146"/>
      <c r="P31" s="151"/>
      <c r="Q31" s="15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</row>
    <row r="32" spans="1:29" s="112" customFormat="1" ht="17.100000000000001" customHeight="1">
      <c r="A32" s="111"/>
      <c r="B32" s="163" t="s">
        <v>14</v>
      </c>
      <c r="C32" s="164">
        <f t="shared" ref="C32:H32" si="5">C21-C31</f>
        <v>1262162.5</v>
      </c>
      <c r="D32" s="164">
        <f t="shared" si="5"/>
        <v>1102595.3999999999</v>
      </c>
      <c r="E32" s="164">
        <f t="shared" si="5"/>
        <v>1169857</v>
      </c>
      <c r="F32" s="164">
        <f t="shared" si="5"/>
        <v>998639.55</v>
      </c>
      <c r="G32" s="164">
        <f t="shared" si="5"/>
        <v>318046.2899999998</v>
      </c>
      <c r="H32" s="164">
        <f t="shared" si="5"/>
        <v>838944.32000000018</v>
      </c>
      <c r="I32" s="164">
        <f t="shared" ref="I32:L32" si="6">I21-I31</f>
        <v>346057.74000000022</v>
      </c>
      <c r="J32" s="164">
        <f t="shared" si="6"/>
        <v>1441695.4299999997</v>
      </c>
      <c r="K32" s="164">
        <f t="shared" si="6"/>
        <v>305353.90000000014</v>
      </c>
      <c r="L32" s="164">
        <f t="shared" si="6"/>
        <v>625460.8200000003</v>
      </c>
      <c r="M32" s="159">
        <f>M21-M31</f>
        <v>8408812.9499999993</v>
      </c>
      <c r="N32" s="111"/>
      <c r="O32" s="146"/>
      <c r="P32" s="151"/>
      <c r="Q32" s="15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</row>
    <row r="33" spans="1:29" ht="15.75" customHeight="1">
      <c r="A33" s="106"/>
      <c r="B33" s="106"/>
      <c r="C33" s="180"/>
      <c r="D33" s="106"/>
      <c r="E33" s="147"/>
      <c r="F33" s="106"/>
      <c r="G33" s="106"/>
      <c r="H33" s="106"/>
      <c r="I33" s="106"/>
      <c r="J33" s="106"/>
      <c r="K33" s="109"/>
      <c r="L33" s="109"/>
      <c r="M33" s="109"/>
      <c r="N33" s="106"/>
      <c r="O33" s="147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</row>
    <row r="34" spans="1:29" s="112" customFormat="1" ht="15.75" customHeight="1">
      <c r="A34" s="111"/>
      <c r="B34" s="307" t="s">
        <v>15</v>
      </c>
      <c r="C34" s="308"/>
      <c r="D34" s="308"/>
      <c r="E34" s="308"/>
      <c r="F34" s="308"/>
      <c r="G34" s="308"/>
      <c r="H34" s="308"/>
      <c r="I34" s="308"/>
      <c r="J34" s="308"/>
      <c r="K34" s="308"/>
      <c r="L34" s="308"/>
      <c r="M34" s="309"/>
      <c r="N34" s="111"/>
      <c r="O34" s="146"/>
      <c r="P34" s="151"/>
      <c r="Q34" s="15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</row>
    <row r="35" spans="1:29" s="112" customFormat="1" ht="15.75" customHeight="1">
      <c r="A35" s="111"/>
      <c r="B35" s="289" t="s">
        <v>16</v>
      </c>
      <c r="C35" s="290"/>
      <c r="D35" s="290"/>
      <c r="E35" s="290"/>
      <c r="F35" s="290"/>
      <c r="G35" s="290"/>
      <c r="H35" s="290"/>
      <c r="I35" s="290"/>
      <c r="J35" s="290"/>
      <c r="K35" s="290"/>
      <c r="L35" s="290"/>
      <c r="M35" s="310"/>
      <c r="N35" s="111"/>
      <c r="O35" s="146"/>
      <c r="P35" s="151"/>
      <c r="Q35" s="15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</row>
    <row r="36" spans="1:29" ht="15.75" customHeight="1">
      <c r="A36" s="106"/>
      <c r="B36" s="291"/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311"/>
      <c r="N36" s="106"/>
      <c r="O36" s="147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</row>
    <row r="37" spans="1:29" ht="15.75" customHeight="1">
      <c r="A37" s="106"/>
      <c r="B37" s="153" t="s">
        <v>17</v>
      </c>
      <c r="C37" s="165"/>
      <c r="D37" s="165"/>
      <c r="E37" s="174"/>
      <c r="F37" s="165"/>
      <c r="G37" s="165"/>
      <c r="H37" s="165"/>
      <c r="I37" s="165"/>
      <c r="J37" s="165"/>
      <c r="K37" s="154"/>
      <c r="L37" s="154"/>
      <c r="M37" s="130" t="s">
        <v>2</v>
      </c>
      <c r="N37" s="147"/>
      <c r="O37" s="151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</row>
    <row r="38" spans="1:29" ht="15.75" customHeight="1">
      <c r="A38" s="106"/>
      <c r="B38" s="136" t="s">
        <v>180</v>
      </c>
      <c r="C38" s="166"/>
      <c r="D38" s="166"/>
      <c r="E38" s="175"/>
      <c r="F38" s="166"/>
      <c r="G38" s="166"/>
      <c r="H38" s="166"/>
      <c r="I38" s="166"/>
      <c r="J38" s="166"/>
      <c r="K38" s="155"/>
      <c r="L38" s="155"/>
      <c r="M38" s="161">
        <v>7955.04</v>
      </c>
      <c r="N38" s="147"/>
      <c r="O38" s="151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</row>
    <row r="39" spans="1:29" ht="15.75" customHeight="1">
      <c r="A39" s="106"/>
      <c r="B39" s="136" t="s">
        <v>181</v>
      </c>
      <c r="C39" s="166"/>
      <c r="D39" s="166"/>
      <c r="E39" s="175"/>
      <c r="F39" s="166"/>
      <c r="G39" s="166"/>
      <c r="H39" s="166"/>
      <c r="I39" s="166"/>
      <c r="J39" s="166"/>
      <c r="K39" s="155"/>
      <c r="L39" s="155"/>
      <c r="M39" s="161">
        <v>0</v>
      </c>
      <c r="N39" s="147"/>
      <c r="O39" s="151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</row>
    <row r="40" spans="1:29" ht="15.75" customHeight="1">
      <c r="A40" s="106"/>
      <c r="B40" s="136" t="s">
        <v>132</v>
      </c>
      <c r="C40" s="166"/>
      <c r="D40" s="166"/>
      <c r="E40" s="175"/>
      <c r="F40" s="166"/>
      <c r="G40" s="166"/>
      <c r="H40" s="166"/>
      <c r="I40" s="166"/>
      <c r="J40" s="166"/>
      <c r="K40" s="155"/>
      <c r="L40" s="155"/>
      <c r="M40" s="161">
        <v>0</v>
      </c>
      <c r="N40" s="147"/>
      <c r="O40" s="151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</row>
    <row r="41" spans="1:29" ht="15.75" customHeight="1">
      <c r="A41" s="106"/>
      <c r="B41" s="136" t="s">
        <v>208</v>
      </c>
      <c r="C41" s="166"/>
      <c r="D41" s="166"/>
      <c r="E41" s="175"/>
      <c r="F41" s="166"/>
      <c r="G41" s="166"/>
      <c r="H41" s="166"/>
      <c r="I41" s="166"/>
      <c r="J41" s="166"/>
      <c r="K41" s="155"/>
      <c r="L41" s="155"/>
      <c r="M41" s="161">
        <v>0</v>
      </c>
      <c r="N41" s="147"/>
      <c r="O41" s="151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</row>
    <row r="42" spans="1:29" ht="15.75" customHeight="1">
      <c r="A42" s="106"/>
      <c r="B42" s="136" t="s">
        <v>20</v>
      </c>
      <c r="C42" s="166"/>
      <c r="D42" s="166"/>
      <c r="E42" s="175"/>
      <c r="F42" s="166"/>
      <c r="G42" s="166"/>
      <c r="H42" s="166"/>
      <c r="I42" s="166"/>
      <c r="J42" s="166"/>
      <c r="K42" s="155"/>
      <c r="L42" s="155"/>
      <c r="M42" s="161">
        <v>503049.7</v>
      </c>
      <c r="N42" s="147"/>
      <c r="O42" s="151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</row>
    <row r="43" spans="1:29" ht="15.75" customHeight="1">
      <c r="A43" s="106"/>
      <c r="B43" s="136" t="s">
        <v>21</v>
      </c>
      <c r="C43" s="166"/>
      <c r="D43" s="166"/>
      <c r="E43" s="175"/>
      <c r="F43" s="166"/>
      <c r="G43" s="166"/>
      <c r="H43" s="166"/>
      <c r="I43" s="166"/>
      <c r="J43" s="166"/>
      <c r="K43" s="155"/>
      <c r="L43" s="155"/>
      <c r="M43" s="161">
        <v>12484.75</v>
      </c>
      <c r="N43" s="147"/>
      <c r="O43" s="151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</row>
    <row r="44" spans="1:29" ht="15.75" customHeight="1">
      <c r="A44" s="106"/>
      <c r="B44" s="136" t="s">
        <v>22</v>
      </c>
      <c r="C44" s="166"/>
      <c r="D44" s="166"/>
      <c r="E44" s="175"/>
      <c r="F44" s="166"/>
      <c r="G44" s="166"/>
      <c r="H44" s="166"/>
      <c r="I44" s="166"/>
      <c r="J44" s="166"/>
      <c r="K44" s="155"/>
      <c r="L44" s="155"/>
      <c r="M44" s="161">
        <v>263408.56</v>
      </c>
      <c r="N44" s="147"/>
      <c r="O44" s="151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</row>
    <row r="45" spans="1:29" ht="15.75" customHeight="1">
      <c r="A45" s="106"/>
      <c r="B45" s="153" t="s">
        <v>23</v>
      </c>
      <c r="C45" s="165"/>
      <c r="D45" s="165"/>
      <c r="E45" s="174"/>
      <c r="F45" s="165"/>
      <c r="G45" s="165"/>
      <c r="H45" s="165"/>
      <c r="I45" s="165"/>
      <c r="J45" s="165"/>
      <c r="K45" s="154"/>
      <c r="L45" s="154"/>
      <c r="M45" s="160">
        <f>SUM(M38:M44)</f>
        <v>786898.05</v>
      </c>
      <c r="N45" s="147"/>
      <c r="O45" s="151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</row>
    <row r="46" spans="1:29" ht="15.75" customHeight="1">
      <c r="A46" s="106"/>
      <c r="B46" s="157"/>
      <c r="C46" s="106"/>
      <c r="D46" s="106"/>
      <c r="E46" s="144"/>
      <c r="F46" s="106"/>
      <c r="G46" s="106"/>
      <c r="H46" s="106"/>
      <c r="I46" s="106"/>
      <c r="J46" s="106"/>
      <c r="K46" s="150"/>
      <c r="L46" s="150"/>
      <c r="M46" s="150"/>
      <c r="N46" s="147"/>
      <c r="O46" s="151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</row>
    <row r="47" spans="1:29" ht="15.75" customHeight="1">
      <c r="A47" s="106"/>
      <c r="B47" s="153" t="s">
        <v>24</v>
      </c>
      <c r="C47" s="165"/>
      <c r="D47" s="165"/>
      <c r="E47" s="174"/>
      <c r="F47" s="165"/>
      <c r="G47" s="165"/>
      <c r="H47" s="165"/>
      <c r="I47" s="165"/>
      <c r="J47" s="165"/>
      <c r="K47" s="154"/>
      <c r="L47" s="154"/>
      <c r="M47" s="130" t="s">
        <v>2</v>
      </c>
      <c r="N47" s="147"/>
      <c r="O47" s="151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</row>
    <row r="48" spans="1:29" ht="15.75" customHeight="1">
      <c r="A48" s="106"/>
      <c r="B48" s="136" t="s">
        <v>200</v>
      </c>
      <c r="C48" s="166"/>
      <c r="D48" s="166"/>
      <c r="E48" s="175"/>
      <c r="F48" s="166"/>
      <c r="G48" s="166"/>
      <c r="H48" s="166"/>
      <c r="I48" s="166"/>
      <c r="J48" s="166"/>
      <c r="K48" s="155"/>
      <c r="L48" s="155"/>
      <c r="M48" s="161">
        <v>10061253.859999999</v>
      </c>
      <c r="N48" s="148"/>
      <c r="O48" s="151"/>
      <c r="Q48" s="108"/>
    </row>
    <row r="49" spans="1:17" ht="15.75" customHeight="1">
      <c r="A49" s="106"/>
      <c r="B49" s="136" t="s">
        <v>206</v>
      </c>
      <c r="C49" s="166"/>
      <c r="D49" s="166"/>
      <c r="E49" s="175"/>
      <c r="F49" s="166"/>
      <c r="G49" s="166"/>
      <c r="H49" s="166"/>
      <c r="I49" s="166"/>
      <c r="J49" s="166"/>
      <c r="K49" s="155"/>
      <c r="L49" s="155"/>
      <c r="M49" s="161">
        <v>10016215.810000001</v>
      </c>
      <c r="N49" s="148"/>
      <c r="O49" s="152"/>
      <c r="Q49" s="108"/>
    </row>
    <row r="50" spans="1:17" ht="15.75" customHeight="1">
      <c r="A50" s="106"/>
      <c r="B50" s="136" t="s">
        <v>25</v>
      </c>
      <c r="C50" s="166"/>
      <c r="D50" s="166"/>
      <c r="E50" s="175"/>
      <c r="F50" s="166"/>
      <c r="G50" s="166"/>
      <c r="H50" s="166"/>
      <c r="I50" s="166"/>
      <c r="J50" s="166"/>
      <c r="K50" s="155"/>
      <c r="L50" s="155"/>
      <c r="M50" s="161">
        <v>25985570.02</v>
      </c>
      <c r="N50" s="148"/>
      <c r="O50" s="151"/>
      <c r="Q50" s="108"/>
    </row>
    <row r="51" spans="1:17" ht="15.75" customHeight="1">
      <c r="B51" s="136" t="s">
        <v>26</v>
      </c>
      <c r="C51" s="166"/>
      <c r="D51" s="166"/>
      <c r="E51" s="175"/>
      <c r="F51" s="166"/>
      <c r="G51" s="166"/>
      <c r="H51" s="166"/>
      <c r="I51" s="166"/>
      <c r="J51" s="166"/>
      <c r="K51" s="155"/>
      <c r="L51" s="155"/>
      <c r="M51" s="161">
        <f>6030135.14+889203.12+1533938.67+64187.46+881788.6</f>
        <v>9399252.9900000002</v>
      </c>
      <c r="N51" s="148"/>
      <c r="O51" s="152"/>
      <c r="Q51" s="108"/>
    </row>
    <row r="52" spans="1:17" ht="15.75" customHeight="1">
      <c r="B52" s="136" t="s">
        <v>131</v>
      </c>
      <c r="C52" s="166"/>
      <c r="D52" s="166"/>
      <c r="E52" s="175"/>
      <c r="F52" s="166"/>
      <c r="G52" s="166"/>
      <c r="H52" s="166"/>
      <c r="I52" s="166"/>
      <c r="J52" s="166"/>
      <c r="K52" s="155"/>
      <c r="L52" s="155"/>
      <c r="M52" s="161">
        <v>247079.37</v>
      </c>
      <c r="N52" s="148"/>
      <c r="O52" s="152"/>
      <c r="Q52" s="108"/>
    </row>
    <row r="53" spans="1:17" ht="15.75" customHeight="1">
      <c r="B53" s="153" t="s">
        <v>28</v>
      </c>
      <c r="C53" s="165"/>
      <c r="D53" s="165"/>
      <c r="E53" s="174"/>
      <c r="F53" s="165"/>
      <c r="G53" s="165"/>
      <c r="H53" s="165"/>
      <c r="I53" s="165"/>
      <c r="J53" s="165"/>
      <c r="K53" s="154"/>
      <c r="L53" s="154"/>
      <c r="M53" s="160">
        <f>SUM(M48:M52)</f>
        <v>55709372.049999997</v>
      </c>
      <c r="N53" s="148"/>
      <c r="O53" s="151"/>
      <c r="Q53" s="108"/>
    </row>
    <row r="54" spans="1:17" ht="15.75" customHeight="1">
      <c r="B54" s="158"/>
      <c r="C54" s="131"/>
      <c r="D54" s="131"/>
      <c r="E54" s="176"/>
      <c r="F54" s="131"/>
      <c r="G54" s="131"/>
      <c r="H54" s="131"/>
      <c r="I54" s="131"/>
      <c r="J54" s="131"/>
      <c r="K54" s="132"/>
      <c r="L54" s="132"/>
      <c r="M54" s="155"/>
      <c r="N54" s="148"/>
      <c r="O54" s="151"/>
      <c r="Q54" s="108"/>
    </row>
    <row r="55" spans="1:17" ht="15.75" customHeight="1">
      <c r="B55" s="133" t="s">
        <v>29</v>
      </c>
      <c r="C55" s="167"/>
      <c r="D55" s="167"/>
      <c r="E55" s="177"/>
      <c r="F55" s="167"/>
      <c r="G55" s="167"/>
      <c r="H55" s="167"/>
      <c r="I55" s="167"/>
      <c r="J55" s="167"/>
      <c r="K55" s="156"/>
      <c r="L55" s="156"/>
      <c r="M55" s="162">
        <f>M53+M45</f>
        <v>56496270.099999994</v>
      </c>
      <c r="N55" s="148"/>
      <c r="O55" s="151"/>
      <c r="Q55" s="108"/>
    </row>
    <row r="56" spans="1:17" ht="15.75" customHeight="1">
      <c r="B56" s="106"/>
      <c r="C56" s="106"/>
      <c r="D56" s="106"/>
      <c r="E56" s="147"/>
      <c r="F56" s="106"/>
      <c r="G56" s="106"/>
      <c r="H56" s="106"/>
      <c r="I56" s="106"/>
      <c r="J56" s="106"/>
      <c r="K56" s="109"/>
      <c r="L56" s="109"/>
      <c r="M56" s="109"/>
    </row>
    <row r="57" spans="1:17" ht="15.75" customHeight="1">
      <c r="B57" s="106"/>
      <c r="C57" s="106"/>
      <c r="D57" s="106"/>
      <c r="E57" s="147"/>
      <c r="F57" s="106"/>
      <c r="G57" s="106"/>
      <c r="H57" s="106"/>
      <c r="I57" s="106"/>
      <c r="J57" s="106"/>
      <c r="K57" s="109"/>
      <c r="L57" s="109"/>
      <c r="M57" s="109"/>
    </row>
    <row r="58" spans="1:17" ht="15.75" customHeight="1">
      <c r="B58" s="106"/>
      <c r="C58" s="106"/>
      <c r="D58" s="106"/>
      <c r="E58" s="147"/>
      <c r="F58" s="106"/>
      <c r="G58" s="106"/>
      <c r="H58" s="106"/>
      <c r="I58" s="106"/>
      <c r="J58" s="106"/>
      <c r="K58" s="109"/>
      <c r="L58" s="109"/>
      <c r="M58" s="109"/>
    </row>
    <row r="59" spans="1:17" ht="15.75" customHeight="1">
      <c r="B59" s="106"/>
      <c r="C59" s="106"/>
      <c r="D59" s="106"/>
      <c r="E59" s="147"/>
      <c r="F59" s="106"/>
      <c r="G59" s="106"/>
      <c r="H59" s="106"/>
      <c r="I59" s="106"/>
      <c r="J59" s="106"/>
      <c r="K59" s="109"/>
      <c r="L59" s="109"/>
      <c r="M59" s="109"/>
    </row>
    <row r="60" spans="1:17" ht="15.75" customHeight="1">
      <c r="B60" s="106"/>
      <c r="C60" s="106"/>
      <c r="D60" s="106"/>
      <c r="E60" s="147"/>
      <c r="F60" s="106"/>
      <c r="G60" s="106"/>
      <c r="H60" s="106"/>
      <c r="I60" s="106"/>
      <c r="J60" s="106"/>
      <c r="K60" s="109"/>
      <c r="L60" s="109"/>
      <c r="M60" s="109"/>
    </row>
    <row r="61" spans="1:17" ht="15.75" customHeight="1">
      <c r="B61" s="106"/>
      <c r="C61" s="106"/>
      <c r="D61" s="106"/>
      <c r="E61" s="144"/>
      <c r="F61" s="106"/>
      <c r="G61" s="106"/>
      <c r="H61" s="106"/>
      <c r="I61" s="106"/>
      <c r="J61" s="106"/>
      <c r="K61" s="106"/>
      <c r="L61" s="106"/>
    </row>
    <row r="62" spans="1:17" ht="15.75" customHeight="1">
      <c r="B62" s="106"/>
      <c r="C62" s="106"/>
      <c r="D62" s="106"/>
      <c r="E62" s="144"/>
      <c r="F62" s="106"/>
      <c r="G62" s="106"/>
      <c r="H62" s="106"/>
      <c r="I62" s="106"/>
      <c r="J62" s="106"/>
      <c r="K62" s="106"/>
      <c r="L62" s="106"/>
    </row>
    <row r="63" spans="1:17" ht="15.75" customHeight="1">
      <c r="B63" s="106"/>
      <c r="C63" s="106"/>
      <c r="D63" s="106"/>
      <c r="E63" s="144"/>
      <c r="F63" s="106"/>
      <c r="G63" s="106"/>
      <c r="H63" s="106"/>
      <c r="I63" s="106"/>
      <c r="J63" s="106"/>
      <c r="K63" s="106"/>
      <c r="L63" s="106"/>
    </row>
  </sheetData>
  <mergeCells count="5">
    <mergeCell ref="B3:M3"/>
    <mergeCell ref="B7:M8"/>
    <mergeCell ref="B23:M24"/>
    <mergeCell ref="B34:M34"/>
    <mergeCell ref="B35:M36"/>
  </mergeCells>
  <pageMargins left="0.25" right="0.25" top="0.75" bottom="0.75" header="0.3" footer="0.3"/>
  <pageSetup paperSize="9" scale="30" pageOrder="overThenDown" orientation="landscape" r:id="rId1"/>
  <headerFooter alignWithMargins="0">
    <oddHeader>&amp;C&amp;"Times New Roman,Regular"&amp;12&amp;A</oddHeader>
    <oddFooter>&amp;C&amp;"Times New Roman,Regular"&amp;12Página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N63"/>
  <sheetViews>
    <sheetView workbookViewId="0">
      <selection activeCell="E26" sqref="E26:N30"/>
    </sheetView>
  </sheetViews>
  <sheetFormatPr defaultRowHeight="15.75"/>
  <cols>
    <col min="1" max="1" width="15.5703125" style="108" customWidth="1"/>
    <col min="2" max="2" width="67.7109375" style="108" bestFit="1" customWidth="1"/>
    <col min="3" max="3" width="26.42578125" style="108" customWidth="1"/>
    <col min="4" max="5" width="18.7109375" style="108" bestFit="1" customWidth="1"/>
    <col min="6" max="6" width="20.7109375" style="148" customWidth="1"/>
    <col min="7" max="7" width="20.7109375" style="108" customWidth="1"/>
    <col min="8" max="8" width="19.5703125" style="108" bestFit="1" customWidth="1"/>
    <col min="9" max="10" width="18.7109375" style="108" bestFit="1" customWidth="1"/>
    <col min="11" max="11" width="21.42578125" style="108" customWidth="1"/>
    <col min="12" max="14" width="20" style="108" bestFit="1" customWidth="1"/>
  </cols>
  <sheetData>
    <row r="1" spans="1:14">
      <c r="A1" s="106" t="s">
        <v>118</v>
      </c>
      <c r="B1" s="106"/>
      <c r="C1" s="106"/>
      <c r="D1" s="106"/>
      <c r="E1" s="106"/>
      <c r="F1" s="144"/>
      <c r="G1" s="106"/>
      <c r="H1" s="106"/>
      <c r="I1" s="106"/>
      <c r="J1" s="106"/>
      <c r="K1" s="106"/>
      <c r="L1" s="109"/>
      <c r="M1" s="109"/>
      <c r="N1" s="109"/>
    </row>
    <row r="2" spans="1:14">
      <c r="A2" s="106"/>
      <c r="B2" s="106"/>
      <c r="C2" s="106"/>
      <c r="D2" s="106"/>
      <c r="E2" s="106"/>
      <c r="F2" s="144"/>
      <c r="G2" s="106"/>
      <c r="H2" s="106"/>
      <c r="I2" s="106"/>
      <c r="J2" s="106"/>
      <c r="K2" s="106"/>
      <c r="L2" s="109"/>
      <c r="M2" s="109"/>
      <c r="N2" s="109"/>
    </row>
    <row r="3" spans="1:14" ht="20.25">
      <c r="A3" s="106"/>
      <c r="B3" s="312" t="s">
        <v>173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</row>
    <row r="4" spans="1:14">
      <c r="A4" s="106"/>
      <c r="B4" s="106"/>
      <c r="C4" s="106"/>
      <c r="D4" s="106"/>
      <c r="E4" s="106"/>
      <c r="F4" s="144"/>
      <c r="G4" s="106"/>
      <c r="H4" s="106"/>
      <c r="I4" s="106"/>
      <c r="J4" s="106"/>
      <c r="K4" s="106"/>
      <c r="L4" s="109"/>
      <c r="M4" s="109"/>
      <c r="N4" s="109"/>
    </row>
    <row r="5" spans="1:14">
      <c r="A5" s="106"/>
      <c r="B5" s="106"/>
      <c r="C5" s="106"/>
      <c r="D5" s="106"/>
      <c r="E5" s="106"/>
      <c r="F5" s="144"/>
      <c r="G5" s="106"/>
      <c r="H5" s="106"/>
      <c r="I5" s="106"/>
      <c r="J5" s="106"/>
      <c r="K5" s="106"/>
      <c r="L5" s="109"/>
      <c r="M5" s="109"/>
      <c r="N5" s="109"/>
    </row>
    <row r="6" spans="1:14">
      <c r="A6" s="140"/>
      <c r="B6" s="139" t="s">
        <v>0</v>
      </c>
      <c r="C6" s="139" t="s">
        <v>110</v>
      </c>
      <c r="D6" s="139" t="s">
        <v>101</v>
      </c>
      <c r="E6" s="139" t="s">
        <v>90</v>
      </c>
      <c r="F6" s="173" t="s">
        <v>85</v>
      </c>
      <c r="G6" s="139" t="s">
        <v>77</v>
      </c>
      <c r="H6" s="139" t="s">
        <v>69</v>
      </c>
      <c r="I6" s="139" t="s">
        <v>61</v>
      </c>
      <c r="J6" s="139" t="s">
        <v>53</v>
      </c>
      <c r="K6" s="139" t="s">
        <v>44</v>
      </c>
      <c r="L6" s="139" t="s">
        <v>151</v>
      </c>
      <c r="M6" s="139" t="s">
        <v>31</v>
      </c>
      <c r="N6" s="139">
        <v>2022</v>
      </c>
    </row>
    <row r="7" spans="1:14">
      <c r="A7" s="111"/>
      <c r="B7" s="289" t="s">
        <v>127</v>
      </c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</row>
    <row r="8" spans="1:14">
      <c r="A8" s="111"/>
      <c r="B8" s="291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</row>
    <row r="9" spans="1:14">
      <c r="A9" s="111"/>
      <c r="B9" s="118" t="s">
        <v>120</v>
      </c>
      <c r="C9" s="178" t="s">
        <v>2</v>
      </c>
      <c r="D9" s="178" t="s">
        <v>2</v>
      </c>
      <c r="E9" s="11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8" t="s">
        <v>2</v>
      </c>
      <c r="M9" s="118" t="s">
        <v>2</v>
      </c>
      <c r="N9" s="118" t="s">
        <v>2</v>
      </c>
    </row>
    <row r="10" spans="1:14">
      <c r="A10" s="106"/>
      <c r="B10" s="136" t="s">
        <v>3</v>
      </c>
      <c r="C10" s="168">
        <f>603897.27+8359.7</f>
        <v>612256.97</v>
      </c>
      <c r="D10" s="168">
        <v>607654.94999999995</v>
      </c>
      <c r="E10" s="168">
        <v>635941.19999999995</v>
      </c>
      <c r="F10" s="168">
        <v>597854.14</v>
      </c>
      <c r="G10" s="168">
        <v>595267.09</v>
      </c>
      <c r="H10" s="168">
        <v>727581.54</v>
      </c>
      <c r="I10" s="168">
        <v>524966.87</v>
      </c>
      <c r="J10" s="168">
        <v>535990.88</v>
      </c>
      <c r="K10" s="168">
        <v>636880.65</v>
      </c>
      <c r="L10" s="138">
        <v>358179.72</v>
      </c>
      <c r="M10" s="138">
        <f>467985.07+2546.27</f>
        <v>470531.34</v>
      </c>
      <c r="N10" s="138">
        <f t="shared" ref="N10:N20" si="0">SUM(C10:M10)</f>
        <v>6303105.3499999996</v>
      </c>
    </row>
    <row r="11" spans="1:14">
      <c r="A11" s="106"/>
      <c r="B11" s="136" t="s">
        <v>4</v>
      </c>
      <c r="C11" s="182">
        <v>389618.14</v>
      </c>
      <c r="D11" s="182">
        <v>386739.3</v>
      </c>
      <c r="E11" s="168">
        <v>404739.76</v>
      </c>
      <c r="F11" s="169">
        <v>380502.6</v>
      </c>
      <c r="G11" s="169">
        <v>378856.21</v>
      </c>
      <c r="H11" s="169">
        <v>463056.11</v>
      </c>
      <c r="I11" s="169">
        <v>487801.26</v>
      </c>
      <c r="J11" s="169">
        <v>189358.6</v>
      </c>
      <c r="K11" s="169">
        <v>405387.8</v>
      </c>
      <c r="L11" s="135">
        <v>227932.55</v>
      </c>
      <c r="M11" s="135">
        <v>452327.34</v>
      </c>
      <c r="N11" s="138">
        <f t="shared" si="0"/>
        <v>4166319.6699999995</v>
      </c>
    </row>
    <row r="12" spans="1:14">
      <c r="A12" s="106"/>
      <c r="B12" s="114" t="s">
        <v>213</v>
      </c>
      <c r="C12" s="171">
        <v>263303.75</v>
      </c>
      <c r="D12" s="171">
        <v>263303.75</v>
      </c>
      <c r="E12" s="171">
        <v>263303.75</v>
      </c>
      <c r="F12" s="171">
        <v>263303.75</v>
      </c>
      <c r="G12" s="171">
        <v>263303.75</v>
      </c>
      <c r="H12" s="171">
        <v>263303.75</v>
      </c>
      <c r="I12" s="171">
        <v>126693.92</v>
      </c>
      <c r="J12" s="171">
        <v>126693.92</v>
      </c>
      <c r="K12" s="170">
        <v>126693.92</v>
      </c>
      <c r="L12" s="115">
        <v>126693.92</v>
      </c>
      <c r="M12" s="115">
        <v>126693.92</v>
      </c>
      <c r="N12" s="138">
        <f t="shared" si="0"/>
        <v>2213292.0999999996</v>
      </c>
    </row>
    <row r="13" spans="1:14">
      <c r="A13" s="106"/>
      <c r="B13" s="114" t="s">
        <v>6</v>
      </c>
      <c r="C13" s="171">
        <f>460999.72-285460.85</f>
        <v>175538.87</v>
      </c>
      <c r="D13" s="171">
        <v>681937.77</v>
      </c>
      <c r="E13" s="171">
        <v>404682.47</v>
      </c>
      <c r="F13" s="171">
        <v>676344.82</v>
      </c>
      <c r="G13" s="171">
        <v>421416.32</v>
      </c>
      <c r="H13" s="171">
        <v>-84090.74</v>
      </c>
      <c r="I13" s="171">
        <v>505838.52</v>
      </c>
      <c r="J13" s="171">
        <v>16001.38</v>
      </c>
      <c r="K13" s="171">
        <v>809918.94</v>
      </c>
      <c r="L13" s="115">
        <v>98226.79</v>
      </c>
      <c r="M13" s="115">
        <v>38967.99</v>
      </c>
      <c r="N13" s="138">
        <f t="shared" si="0"/>
        <v>3744783.1299999994</v>
      </c>
    </row>
    <row r="14" spans="1:14">
      <c r="A14" s="106"/>
      <c r="B14" s="114" t="s">
        <v>212</v>
      </c>
      <c r="C14" s="171">
        <v>57257.599999999999</v>
      </c>
      <c r="D14" s="171">
        <v>57441.41</v>
      </c>
      <c r="E14" s="171">
        <f>57964.94+57617.15</f>
        <v>115582.09</v>
      </c>
      <c r="F14" s="171">
        <v>0</v>
      </c>
      <c r="G14" s="171">
        <v>57607.77</v>
      </c>
      <c r="H14" s="171">
        <v>57349.7</v>
      </c>
      <c r="I14" s="171">
        <v>56759.4</v>
      </c>
      <c r="J14" s="171">
        <v>55805.13</v>
      </c>
      <c r="K14" s="171">
        <v>55252.6</v>
      </c>
      <c r="L14" s="115">
        <v>54884.88</v>
      </c>
      <c r="M14" s="115">
        <v>54487.12</v>
      </c>
      <c r="N14" s="138">
        <f t="shared" si="0"/>
        <v>622427.69999999995</v>
      </c>
    </row>
    <row r="15" spans="1:14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71">
        <v>0</v>
      </c>
      <c r="M15" s="115">
        <v>23811.51</v>
      </c>
      <c r="N15" s="138">
        <f t="shared" si="0"/>
        <v>23811.51</v>
      </c>
    </row>
    <row r="16" spans="1:14">
      <c r="A16" s="106"/>
      <c r="B16" s="114" t="s">
        <v>211</v>
      </c>
      <c r="C16" s="179">
        <v>12920.29</v>
      </c>
      <c r="D16" s="179">
        <v>12961.2</v>
      </c>
      <c r="E16" s="171">
        <v>12936.32</v>
      </c>
      <c r="F16" s="171">
        <v>12949.78</v>
      </c>
      <c r="G16" s="171">
        <v>12742.8</v>
      </c>
      <c r="H16" s="171">
        <v>12621.89</v>
      </c>
      <c r="I16" s="171">
        <v>12430.62</v>
      </c>
      <c r="J16" s="171">
        <v>12368.92</v>
      </c>
      <c r="K16" s="171">
        <v>11980.7</v>
      </c>
      <c r="L16" s="115">
        <v>11840.9</v>
      </c>
      <c r="M16" s="115">
        <v>11697.01</v>
      </c>
      <c r="N16" s="138">
        <f t="shared" si="0"/>
        <v>137450.43</v>
      </c>
    </row>
    <row r="17" spans="1:14">
      <c r="A17" s="106"/>
      <c r="B17" s="114" t="s">
        <v>210</v>
      </c>
      <c r="C17" s="179">
        <v>5386.52</v>
      </c>
      <c r="D17" s="179">
        <v>5403.56</v>
      </c>
      <c r="E17" s="171">
        <v>5393.18</v>
      </c>
      <c r="F17" s="171">
        <v>5398.8</v>
      </c>
      <c r="G17" s="171">
        <v>5312.52</v>
      </c>
      <c r="H17" s="171">
        <v>5262.12</v>
      </c>
      <c r="I17" s="171">
        <v>5182.37</v>
      </c>
      <c r="J17" s="171">
        <v>5156.6499999999996</v>
      </c>
      <c r="K17" s="171">
        <v>4994.8</v>
      </c>
      <c r="L17" s="115">
        <v>4936.5200000000004</v>
      </c>
      <c r="M17" s="115">
        <v>4876.53</v>
      </c>
      <c r="N17" s="138">
        <f t="shared" si="0"/>
        <v>57303.570000000007</v>
      </c>
    </row>
    <row r="18" spans="1:14">
      <c r="A18" s="106"/>
      <c r="B18" s="114" t="s">
        <v>209</v>
      </c>
      <c r="C18" s="179">
        <v>18454</v>
      </c>
      <c r="D18" s="179">
        <v>18512.490000000002</v>
      </c>
      <c r="E18" s="171">
        <v>18476.41</v>
      </c>
      <c r="F18" s="171">
        <v>18497.71</v>
      </c>
      <c r="G18" s="171">
        <v>18201.28</v>
      </c>
      <c r="H18" s="171">
        <v>18028.2</v>
      </c>
      <c r="I18" s="171">
        <v>17753.55</v>
      </c>
      <c r="J18" s="171">
        <v>17665.8</v>
      </c>
      <c r="K18" s="171">
        <v>17111.64</v>
      </c>
      <c r="L18" s="115">
        <v>17026.22</v>
      </c>
      <c r="M18" s="115">
        <v>16706.07</v>
      </c>
      <c r="N18" s="138">
        <f t="shared" si="0"/>
        <v>196433.37000000002</v>
      </c>
    </row>
    <row r="19" spans="1:14">
      <c r="A19" s="106"/>
      <c r="B19" s="114" t="s">
        <v>178</v>
      </c>
      <c r="C19" s="179">
        <f>12520.13-1429.51</f>
        <v>11090.619999999999</v>
      </c>
      <c r="D19" s="171">
        <v>7701.38</v>
      </c>
      <c r="E19" s="171">
        <v>11242.71</v>
      </c>
      <c r="F19" s="171">
        <v>11242.71</v>
      </c>
      <c r="G19" s="171">
        <v>11242.71</v>
      </c>
      <c r="H19" s="171">
        <v>11242.71</v>
      </c>
      <c r="I19" s="171">
        <v>11242.71</v>
      </c>
      <c r="J19" s="171">
        <v>82684.009999999995</v>
      </c>
      <c r="K19" s="171">
        <v>11242.71</v>
      </c>
      <c r="L19" s="115">
        <v>0</v>
      </c>
      <c r="M19" s="115">
        <v>0</v>
      </c>
      <c r="N19" s="138">
        <f t="shared" si="0"/>
        <v>168932.27</v>
      </c>
    </row>
    <row r="20" spans="1:14">
      <c r="A20" s="106"/>
      <c r="B20" s="114" t="s">
        <v>192</v>
      </c>
      <c r="C20" s="171">
        <v>6222.96</v>
      </c>
      <c r="D20" s="115">
        <v>0</v>
      </c>
      <c r="E20" s="171">
        <f>1168.12+1943.36</f>
        <v>3111.4799999999996</v>
      </c>
      <c r="F20" s="171">
        <f>1168.12+1943.36</f>
        <v>3111.4799999999996</v>
      </c>
      <c r="G20" s="171">
        <f>1168.12+1943.36</f>
        <v>3111.4799999999996</v>
      </c>
      <c r="H20" s="171">
        <f>1168.12+1943.36</f>
        <v>3111.4799999999996</v>
      </c>
      <c r="I20" s="171">
        <f>(1168.12*2)+(1943.36*2)</f>
        <v>6222.9599999999991</v>
      </c>
      <c r="J20" s="171">
        <v>0</v>
      </c>
      <c r="K20" s="171">
        <v>15557.47</v>
      </c>
      <c r="L20" s="115">
        <v>1168.1199999999999</v>
      </c>
      <c r="M20" s="115">
        <v>3231.48</v>
      </c>
      <c r="N20" s="138">
        <f t="shared" si="0"/>
        <v>44848.91</v>
      </c>
    </row>
    <row r="21" spans="1:14">
      <c r="A21" s="111"/>
      <c r="B21" s="116" t="s">
        <v>9</v>
      </c>
      <c r="C21" s="117">
        <f t="shared" ref="C21:D21" si="1">SUM(C10:C20)</f>
        <v>1552049.7200000002</v>
      </c>
      <c r="D21" s="117">
        <f t="shared" si="1"/>
        <v>2041655.8099999998</v>
      </c>
      <c r="E21" s="117">
        <f t="shared" ref="E21:M21" si="2">SUM(E10:E20)</f>
        <v>1875409.3699999999</v>
      </c>
      <c r="F21" s="117">
        <f t="shared" si="2"/>
        <v>1969205.79</v>
      </c>
      <c r="G21" s="117">
        <f t="shared" si="2"/>
        <v>1767061.9300000002</v>
      </c>
      <c r="H21" s="117">
        <f t="shared" si="2"/>
        <v>1477466.7599999998</v>
      </c>
      <c r="I21" s="117">
        <f t="shared" si="2"/>
        <v>1754892.1800000002</v>
      </c>
      <c r="J21" s="117">
        <f t="shared" si="2"/>
        <v>1041725.2900000002</v>
      </c>
      <c r="K21" s="117">
        <f t="shared" si="2"/>
        <v>2095021.2299999997</v>
      </c>
      <c r="L21" s="117">
        <f t="shared" si="2"/>
        <v>900889.62000000011</v>
      </c>
      <c r="M21" s="117">
        <f t="shared" si="2"/>
        <v>1203330.3100000003</v>
      </c>
      <c r="N21" s="117">
        <f>SUM(N10:N20)</f>
        <v>17678708.010000002</v>
      </c>
    </row>
    <row r="22" spans="1:14">
      <c r="A22" s="106"/>
      <c r="B22" s="106"/>
      <c r="C22" s="180"/>
      <c r="D22" s="143"/>
      <c r="E22" s="106"/>
      <c r="F22" s="181"/>
      <c r="G22" s="106"/>
      <c r="H22" s="106"/>
      <c r="I22" s="106"/>
      <c r="J22" s="106"/>
      <c r="K22" s="106"/>
      <c r="L22" s="109"/>
      <c r="M22" s="109"/>
      <c r="N22" s="109"/>
    </row>
    <row r="23" spans="1:14">
      <c r="A23" s="111"/>
      <c r="B23" s="289" t="s">
        <v>128</v>
      </c>
      <c r="C23" s="290"/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0"/>
    </row>
    <row r="24" spans="1:14">
      <c r="A24" s="106"/>
      <c r="B24" s="291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</row>
    <row r="25" spans="1:14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18" t="s">
        <v>2</v>
      </c>
      <c r="M25" s="118" t="s">
        <v>2</v>
      </c>
      <c r="N25" s="118" t="s">
        <v>2</v>
      </c>
    </row>
    <row r="26" spans="1:14">
      <c r="A26" s="106"/>
      <c r="B26" s="114" t="s">
        <v>207</v>
      </c>
      <c r="C26" s="171">
        <v>626353.94999999995</v>
      </c>
      <c r="D26" s="171">
        <v>628298.59</v>
      </c>
      <c r="E26" s="171">
        <v>621961.06000000006</v>
      </c>
      <c r="F26" s="179">
        <v>615746.06999999995</v>
      </c>
      <c r="G26" s="171">
        <v>617621.43000000005</v>
      </c>
      <c r="H26" s="179">
        <v>925293.45</v>
      </c>
      <c r="I26" s="179">
        <v>755023.19</v>
      </c>
      <c r="J26" s="179">
        <v>548127.35</v>
      </c>
      <c r="K26" s="179">
        <v>542075.24</v>
      </c>
      <c r="L26" s="189">
        <v>495470.49</v>
      </c>
      <c r="M26" s="115">
        <v>487626.13</v>
      </c>
      <c r="N26" s="115">
        <f>SUM(B26:M26)</f>
        <v>6863596.9500000002</v>
      </c>
    </row>
    <row r="27" spans="1:14">
      <c r="A27" s="106"/>
      <c r="B27" s="114" t="s">
        <v>150</v>
      </c>
      <c r="C27" s="171">
        <v>66848.59</v>
      </c>
      <c r="D27" s="171">
        <v>66848.59</v>
      </c>
      <c r="E27" s="171">
        <v>66848.59</v>
      </c>
      <c r="F27" s="179">
        <v>69264.009999999995</v>
      </c>
      <c r="G27" s="171">
        <v>64433.17</v>
      </c>
      <c r="H27" s="179">
        <v>97154.79</v>
      </c>
      <c r="I27" s="179">
        <v>67044.08</v>
      </c>
      <c r="J27" s="179">
        <v>64945.72</v>
      </c>
      <c r="K27" s="179">
        <v>64945.72</v>
      </c>
      <c r="L27" s="189">
        <v>63584.02</v>
      </c>
      <c r="M27" s="115">
        <v>65481.06</v>
      </c>
      <c r="N27" s="115">
        <f>SUM(B27:M27)</f>
        <v>757398.33999999985</v>
      </c>
    </row>
    <row r="28" spans="1:14">
      <c r="A28" s="106"/>
      <c r="B28" s="114" t="s">
        <v>171</v>
      </c>
      <c r="C28" s="172">
        <v>37105.31</v>
      </c>
      <c r="D28" s="172">
        <v>37053.96</v>
      </c>
      <c r="E28" s="191">
        <v>37429.24</v>
      </c>
      <c r="F28" s="191">
        <v>36658.53</v>
      </c>
      <c r="G28" s="191">
        <v>38537.58</v>
      </c>
      <c r="H28" s="191">
        <v>46269.5</v>
      </c>
      <c r="I28" s="191">
        <v>40256.519999999997</v>
      </c>
      <c r="J28" s="191">
        <v>27034.39</v>
      </c>
      <c r="K28" s="191">
        <v>24052.01</v>
      </c>
      <c r="L28" s="190">
        <v>21886.080000000002</v>
      </c>
      <c r="M28" s="119">
        <v>17676.18</v>
      </c>
      <c r="N28" s="115">
        <f>SUM(B28:M28)</f>
        <v>363959.30000000005</v>
      </c>
    </row>
    <row r="29" spans="1:14">
      <c r="A29" s="106"/>
      <c r="B29" s="114" t="s">
        <v>193</v>
      </c>
      <c r="C29" s="171">
        <v>1683.17</v>
      </c>
      <c r="D29" s="171">
        <v>4818.75</v>
      </c>
      <c r="E29" s="171">
        <f>1531.08</f>
        <v>1531.08</v>
      </c>
      <c r="F29" s="179">
        <f>1531.08</f>
        <v>1531.08</v>
      </c>
      <c r="G29" s="179">
        <v>1277.42</v>
      </c>
      <c r="H29" s="179">
        <f>1531.08</f>
        <v>1531.08</v>
      </c>
      <c r="I29" s="179">
        <v>16262.03</v>
      </c>
      <c r="J29" s="179">
        <v>0</v>
      </c>
      <c r="K29" s="179">
        <v>0</v>
      </c>
      <c r="L29" s="189">
        <v>0</v>
      </c>
      <c r="M29" s="115">
        <v>0</v>
      </c>
      <c r="N29" s="115">
        <f>SUM(B29:M29)</f>
        <v>28634.61</v>
      </c>
    </row>
    <row r="30" spans="1:14">
      <c r="A30" s="106"/>
      <c r="B30" s="114" t="s">
        <v>130</v>
      </c>
      <c r="C30" s="172">
        <f>797045.22-C26-C27-C28-C29</f>
        <v>65054.200000000026</v>
      </c>
      <c r="D30" s="172">
        <f>779493.31-D26-D27-D28-D29</f>
        <v>42473.420000000093</v>
      </c>
      <c r="E30" s="172">
        <v>45044</v>
      </c>
      <c r="F30" s="191">
        <v>76149.100000000006</v>
      </c>
      <c r="G30" s="172">
        <v>46552.78</v>
      </c>
      <c r="H30" s="191">
        <v>89171.65</v>
      </c>
      <c r="I30" s="191">
        <v>37362.04</v>
      </c>
      <c r="J30" s="191">
        <v>55560.09</v>
      </c>
      <c r="K30" s="191">
        <v>22252.83</v>
      </c>
      <c r="L30" s="190">
        <v>14595.13</v>
      </c>
      <c r="M30" s="119">
        <v>7086.12</v>
      </c>
      <c r="N30" s="115">
        <f>SUM(B30:M30)</f>
        <v>501301.36000000016</v>
      </c>
    </row>
    <row r="31" spans="1:14">
      <c r="A31" s="111"/>
      <c r="B31" s="120" t="s">
        <v>84</v>
      </c>
      <c r="C31" s="121">
        <f t="shared" ref="C31" si="3">SUM(C26:C30)</f>
        <v>797045.22</v>
      </c>
      <c r="D31" s="121">
        <f t="shared" ref="D31" si="4">SUM(D26:D30)</f>
        <v>779493.30999999994</v>
      </c>
      <c r="E31" s="121">
        <f t="shared" ref="E31:M31" si="5">SUM(E26:E30)</f>
        <v>772813.97</v>
      </c>
      <c r="F31" s="121">
        <f t="shared" si="5"/>
        <v>799348.78999999992</v>
      </c>
      <c r="G31" s="121">
        <f t="shared" si="5"/>
        <v>768422.38000000012</v>
      </c>
      <c r="H31" s="121">
        <f t="shared" si="5"/>
        <v>1159420.47</v>
      </c>
      <c r="I31" s="121">
        <f t="shared" si="5"/>
        <v>915947.86</v>
      </c>
      <c r="J31" s="121">
        <f t="shared" si="5"/>
        <v>695667.54999999993</v>
      </c>
      <c r="K31" s="121">
        <f t="shared" si="5"/>
        <v>653325.79999999993</v>
      </c>
      <c r="L31" s="121">
        <f t="shared" si="5"/>
        <v>595535.72</v>
      </c>
      <c r="M31" s="121">
        <f t="shared" si="5"/>
        <v>577869.49</v>
      </c>
      <c r="N31" s="121">
        <f>SUM(N26:N30)</f>
        <v>8514890.5600000005</v>
      </c>
    </row>
    <row r="32" spans="1:14">
      <c r="A32" s="111"/>
      <c r="B32" s="163" t="s">
        <v>14</v>
      </c>
      <c r="C32" s="164">
        <f t="shared" ref="C32" si="6">C21-C31</f>
        <v>755004.50000000023</v>
      </c>
      <c r="D32" s="164">
        <f t="shared" ref="D32:M32" si="7">D21-D31</f>
        <v>1262162.5</v>
      </c>
      <c r="E32" s="164">
        <f t="shared" si="7"/>
        <v>1102595.3999999999</v>
      </c>
      <c r="F32" s="164">
        <f t="shared" si="7"/>
        <v>1169857</v>
      </c>
      <c r="G32" s="164">
        <f t="shared" si="7"/>
        <v>998639.55</v>
      </c>
      <c r="H32" s="164">
        <f t="shared" si="7"/>
        <v>318046.2899999998</v>
      </c>
      <c r="I32" s="164">
        <f t="shared" si="7"/>
        <v>838944.32000000018</v>
      </c>
      <c r="J32" s="164">
        <f t="shared" si="7"/>
        <v>346057.74000000022</v>
      </c>
      <c r="K32" s="164">
        <f t="shared" si="7"/>
        <v>1441695.4299999997</v>
      </c>
      <c r="L32" s="164">
        <f t="shared" si="7"/>
        <v>305353.90000000014</v>
      </c>
      <c r="M32" s="164">
        <f t="shared" si="7"/>
        <v>625460.8200000003</v>
      </c>
      <c r="N32" s="159">
        <f>N21-N31</f>
        <v>9163817.4500000011</v>
      </c>
    </row>
    <row r="33" spans="1:14">
      <c r="A33" s="106"/>
      <c r="B33" s="106"/>
      <c r="C33" s="106"/>
      <c r="D33" s="180"/>
      <c r="E33" s="106"/>
      <c r="F33" s="147"/>
      <c r="G33" s="106"/>
      <c r="H33" s="106"/>
      <c r="I33" s="106"/>
      <c r="J33" s="106"/>
      <c r="K33" s="106"/>
      <c r="L33" s="109"/>
      <c r="M33" s="109"/>
      <c r="N33" s="109"/>
    </row>
    <row r="34" spans="1:14">
      <c r="A34" s="111"/>
      <c r="B34" s="307" t="s">
        <v>15</v>
      </c>
      <c r="C34" s="308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309"/>
    </row>
    <row r="35" spans="1:14">
      <c r="A35" s="111"/>
      <c r="B35" s="289" t="s">
        <v>16</v>
      </c>
      <c r="C35" s="290"/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310"/>
    </row>
    <row r="36" spans="1:14">
      <c r="A36" s="106"/>
      <c r="B36" s="291"/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311"/>
    </row>
    <row r="37" spans="1:14">
      <c r="A37" s="106"/>
      <c r="B37" s="153" t="s">
        <v>17</v>
      </c>
      <c r="C37" s="165"/>
      <c r="D37" s="165"/>
      <c r="E37" s="165"/>
      <c r="F37" s="174"/>
      <c r="G37" s="165"/>
      <c r="H37" s="165"/>
      <c r="I37" s="165"/>
      <c r="J37" s="165"/>
      <c r="K37" s="165"/>
      <c r="L37" s="154"/>
      <c r="M37" s="154"/>
      <c r="N37" s="130" t="s">
        <v>2</v>
      </c>
    </row>
    <row r="38" spans="1:14">
      <c r="A38" s="106"/>
      <c r="B38" s="136" t="s">
        <v>180</v>
      </c>
      <c r="C38" s="166"/>
      <c r="D38" s="166"/>
      <c r="E38" s="166"/>
      <c r="F38" s="175"/>
      <c r="G38" s="166"/>
      <c r="H38" s="166"/>
      <c r="I38" s="166"/>
      <c r="J38" s="166"/>
      <c r="K38" s="166"/>
      <c r="L38" s="155"/>
      <c r="M38" s="155"/>
      <c r="N38" s="161">
        <v>0</v>
      </c>
    </row>
    <row r="39" spans="1:14">
      <c r="A39" s="106"/>
      <c r="B39" s="136" t="s">
        <v>181</v>
      </c>
      <c r="C39" s="166"/>
      <c r="D39" s="166"/>
      <c r="E39" s="166"/>
      <c r="F39" s="175"/>
      <c r="G39" s="166"/>
      <c r="H39" s="166"/>
      <c r="I39" s="166"/>
      <c r="J39" s="166"/>
      <c r="K39" s="166"/>
      <c r="L39" s="155"/>
      <c r="M39" s="155"/>
      <c r="N39" s="161">
        <v>0</v>
      </c>
    </row>
    <row r="40" spans="1:14">
      <c r="A40" s="106"/>
      <c r="B40" s="136" t="s">
        <v>132</v>
      </c>
      <c r="C40" s="166"/>
      <c r="D40" s="166"/>
      <c r="E40" s="166"/>
      <c r="F40" s="175"/>
      <c r="G40" s="166"/>
      <c r="H40" s="166"/>
      <c r="I40" s="166"/>
      <c r="J40" s="166"/>
      <c r="K40" s="166"/>
      <c r="L40" s="155"/>
      <c r="M40" s="155"/>
      <c r="N40" s="161">
        <v>0</v>
      </c>
    </row>
    <row r="41" spans="1:14">
      <c r="A41" s="106"/>
      <c r="B41" s="136" t="s">
        <v>208</v>
      </c>
      <c r="C41" s="166"/>
      <c r="D41" s="166"/>
      <c r="E41" s="166"/>
      <c r="F41" s="175"/>
      <c r="G41" s="166"/>
      <c r="H41" s="166"/>
      <c r="I41" s="166"/>
      <c r="J41" s="166"/>
      <c r="K41" s="166"/>
      <c r="L41" s="155"/>
      <c r="M41" s="155"/>
      <c r="N41" s="161">
        <v>283812.77</v>
      </c>
    </row>
    <row r="42" spans="1:14">
      <c r="A42" s="106"/>
      <c r="B42" s="136" t="s">
        <v>20</v>
      </c>
      <c r="C42" s="166"/>
      <c r="D42" s="166"/>
      <c r="E42" s="166"/>
      <c r="F42" s="175"/>
      <c r="G42" s="166"/>
      <c r="H42" s="166"/>
      <c r="I42" s="166"/>
      <c r="J42" s="166"/>
      <c r="K42" s="166"/>
      <c r="L42" s="155"/>
      <c r="M42" s="155"/>
      <c r="N42" s="161">
        <v>134497.07</v>
      </c>
    </row>
    <row r="43" spans="1:14">
      <c r="A43" s="106"/>
      <c r="B43" s="136" t="s">
        <v>21</v>
      </c>
      <c r="C43" s="166"/>
      <c r="D43" s="166"/>
      <c r="E43" s="166"/>
      <c r="F43" s="175"/>
      <c r="G43" s="166"/>
      <c r="H43" s="166"/>
      <c r="I43" s="166"/>
      <c r="J43" s="166"/>
      <c r="K43" s="166"/>
      <c r="L43" s="155"/>
      <c r="M43" s="155"/>
      <c r="N43" s="161">
        <v>14475.68</v>
      </c>
    </row>
    <row r="44" spans="1:14">
      <c r="A44" s="106"/>
      <c r="B44" s="136" t="s">
        <v>22</v>
      </c>
      <c r="C44" s="166"/>
      <c r="D44" s="166"/>
      <c r="E44" s="166"/>
      <c r="F44" s="175"/>
      <c r="G44" s="166"/>
      <c r="H44" s="166"/>
      <c r="I44" s="166"/>
      <c r="J44" s="166"/>
      <c r="K44" s="166"/>
      <c r="L44" s="155"/>
      <c r="M44" s="155"/>
      <c r="N44" s="161">
        <v>49.81</v>
      </c>
    </row>
    <row r="45" spans="1:14">
      <c r="A45" s="106"/>
      <c r="B45" s="153" t="s">
        <v>23</v>
      </c>
      <c r="C45" s="165"/>
      <c r="D45" s="165"/>
      <c r="E45" s="165"/>
      <c r="F45" s="174"/>
      <c r="G45" s="165"/>
      <c r="H45" s="165"/>
      <c r="I45" s="165"/>
      <c r="J45" s="165"/>
      <c r="K45" s="165"/>
      <c r="L45" s="154"/>
      <c r="M45" s="154"/>
      <c r="N45" s="160">
        <f>SUM(N38:N44)</f>
        <v>432835.33</v>
      </c>
    </row>
    <row r="46" spans="1:14">
      <c r="A46" s="106"/>
      <c r="B46" s="157"/>
      <c r="C46" s="106"/>
      <c r="D46" s="106"/>
      <c r="E46" s="106"/>
      <c r="F46" s="144"/>
      <c r="G46" s="106"/>
      <c r="H46" s="106"/>
      <c r="I46" s="106"/>
      <c r="J46" s="106"/>
      <c r="K46" s="106"/>
      <c r="L46" s="150"/>
      <c r="M46" s="150"/>
      <c r="N46" s="150"/>
    </row>
    <row r="47" spans="1:14">
      <c r="A47" s="106"/>
      <c r="B47" s="153" t="s">
        <v>24</v>
      </c>
      <c r="C47" s="165"/>
      <c r="D47" s="165"/>
      <c r="E47" s="165"/>
      <c r="F47" s="174"/>
      <c r="G47" s="165"/>
      <c r="H47" s="165"/>
      <c r="I47" s="165"/>
      <c r="J47" s="165"/>
      <c r="K47" s="165"/>
      <c r="L47" s="154"/>
      <c r="M47" s="154"/>
      <c r="N47" s="130" t="s">
        <v>2</v>
      </c>
    </row>
    <row r="48" spans="1:14">
      <c r="A48" s="106"/>
      <c r="B48" s="136" t="s">
        <v>200</v>
      </c>
      <c r="C48" s="166"/>
      <c r="D48" s="166"/>
      <c r="E48" s="166"/>
      <c r="F48" s="175"/>
      <c r="G48" s="166"/>
      <c r="H48" s="166"/>
      <c r="I48" s="166"/>
      <c r="J48" s="166"/>
      <c r="K48" s="166"/>
      <c r="L48" s="155"/>
      <c r="M48" s="155"/>
      <c r="N48" s="161">
        <v>10169957.74</v>
      </c>
    </row>
    <row r="49" spans="1:14">
      <c r="A49" s="106"/>
      <c r="B49" s="136" t="s">
        <v>206</v>
      </c>
      <c r="C49" s="166"/>
      <c r="D49" s="166"/>
      <c r="E49" s="166"/>
      <c r="F49" s="175"/>
      <c r="G49" s="166"/>
      <c r="H49" s="166"/>
      <c r="I49" s="166"/>
      <c r="J49" s="166"/>
      <c r="K49" s="166"/>
      <c r="L49" s="155"/>
      <c r="M49" s="155"/>
      <c r="N49" s="161">
        <v>9839452.1099999994</v>
      </c>
    </row>
    <row r="50" spans="1:14">
      <c r="A50" s="106"/>
      <c r="B50" s="136" t="s">
        <v>25</v>
      </c>
      <c r="C50" s="166"/>
      <c r="D50" s="166"/>
      <c r="E50" s="166"/>
      <c r="F50" s="175"/>
      <c r="G50" s="166"/>
      <c r="H50" s="166"/>
      <c r="I50" s="166"/>
      <c r="J50" s="166"/>
      <c r="K50" s="166"/>
      <c r="L50" s="155"/>
      <c r="M50" s="155"/>
      <c r="N50" s="161">
        <v>27089135.510000002</v>
      </c>
    </row>
    <row r="51" spans="1:14">
      <c r="B51" s="136" t="s">
        <v>26</v>
      </c>
      <c r="C51" s="166"/>
      <c r="D51" s="166"/>
      <c r="E51" s="166"/>
      <c r="F51" s="175"/>
      <c r="G51" s="166"/>
      <c r="H51" s="166"/>
      <c r="I51" s="166"/>
      <c r="J51" s="166"/>
      <c r="K51" s="166"/>
      <c r="L51" s="155"/>
      <c r="M51" s="155"/>
      <c r="N51" s="161">
        <f>6110909.74+883392.22+1521675.25+63744.7+890625.57</f>
        <v>9470347.4800000004</v>
      </c>
    </row>
    <row r="52" spans="1:14">
      <c r="B52" s="136" t="s">
        <v>131</v>
      </c>
      <c r="C52" s="166"/>
      <c r="D52" s="166"/>
      <c r="E52" s="166"/>
      <c r="F52" s="175"/>
      <c r="G52" s="166"/>
      <c r="H52" s="166"/>
      <c r="I52" s="166"/>
      <c r="J52" s="166"/>
      <c r="K52" s="166"/>
      <c r="L52" s="155"/>
      <c r="M52" s="155"/>
      <c r="N52" s="161">
        <v>257858.47</v>
      </c>
    </row>
    <row r="53" spans="1:14">
      <c r="B53" s="153" t="s">
        <v>28</v>
      </c>
      <c r="C53" s="165"/>
      <c r="D53" s="165"/>
      <c r="E53" s="165"/>
      <c r="F53" s="174"/>
      <c r="G53" s="165"/>
      <c r="H53" s="165"/>
      <c r="I53" s="165"/>
      <c r="J53" s="165"/>
      <c r="K53" s="165"/>
      <c r="L53" s="154"/>
      <c r="M53" s="154"/>
      <c r="N53" s="160">
        <f>SUM(N48:N52)</f>
        <v>56826751.310000002</v>
      </c>
    </row>
    <row r="54" spans="1:14">
      <c r="B54" s="158"/>
      <c r="C54" s="131"/>
      <c r="D54" s="131"/>
      <c r="E54" s="131"/>
      <c r="F54" s="176"/>
      <c r="G54" s="131"/>
      <c r="H54" s="131"/>
      <c r="I54" s="131"/>
      <c r="J54" s="131"/>
      <c r="K54" s="131"/>
      <c r="L54" s="132"/>
      <c r="M54" s="132"/>
      <c r="N54" s="155"/>
    </row>
    <row r="55" spans="1:14">
      <c r="B55" s="133" t="s">
        <v>29</v>
      </c>
      <c r="C55" s="167"/>
      <c r="D55" s="167"/>
      <c r="E55" s="167"/>
      <c r="F55" s="177"/>
      <c r="G55" s="167"/>
      <c r="H55" s="167"/>
      <c r="I55" s="167"/>
      <c r="J55" s="167"/>
      <c r="K55" s="167"/>
      <c r="L55" s="156"/>
      <c r="M55" s="156"/>
      <c r="N55" s="162">
        <f>N53+N45</f>
        <v>57259586.640000001</v>
      </c>
    </row>
    <row r="56" spans="1:14">
      <c r="B56" s="106"/>
      <c r="C56" s="106"/>
      <c r="D56" s="106"/>
      <c r="E56" s="106"/>
      <c r="F56" s="147"/>
      <c r="G56" s="106"/>
      <c r="H56" s="106"/>
      <c r="I56" s="106"/>
      <c r="J56" s="106"/>
      <c r="K56" s="106"/>
      <c r="L56" s="109"/>
      <c r="M56" s="109"/>
      <c r="N56" s="109"/>
    </row>
    <row r="57" spans="1:14">
      <c r="B57" s="106"/>
      <c r="C57" s="106"/>
      <c r="D57" s="106"/>
      <c r="E57" s="106"/>
      <c r="F57" s="147"/>
      <c r="G57" s="106"/>
      <c r="H57" s="106"/>
      <c r="I57" s="106"/>
      <c r="J57" s="106"/>
      <c r="K57" s="106"/>
      <c r="L57" s="109"/>
      <c r="M57" s="109"/>
      <c r="N57" s="109"/>
    </row>
    <row r="58" spans="1:14">
      <c r="B58" s="106"/>
      <c r="C58" s="106"/>
      <c r="D58" s="106"/>
      <c r="E58" s="106"/>
      <c r="F58" s="147"/>
      <c r="G58" s="106"/>
      <c r="H58" s="106"/>
      <c r="I58" s="106"/>
      <c r="J58" s="106"/>
      <c r="K58" s="106"/>
      <c r="L58" s="109"/>
      <c r="M58" s="109"/>
      <c r="N58" s="109"/>
    </row>
    <row r="59" spans="1:14">
      <c r="B59" s="106"/>
      <c r="C59" s="106"/>
      <c r="D59" s="106"/>
      <c r="E59" s="106"/>
      <c r="F59" s="147"/>
      <c r="G59" s="106"/>
      <c r="H59" s="106"/>
      <c r="I59" s="106"/>
      <c r="J59" s="106"/>
      <c r="K59" s="106"/>
      <c r="L59" s="109"/>
      <c r="M59" s="109"/>
      <c r="N59" s="109"/>
    </row>
    <row r="60" spans="1:14">
      <c r="B60" s="106"/>
      <c r="C60" s="106"/>
      <c r="D60" s="106"/>
      <c r="E60" s="106"/>
      <c r="F60" s="147"/>
      <c r="G60" s="106"/>
      <c r="H60" s="106"/>
      <c r="I60" s="106"/>
      <c r="J60" s="106"/>
      <c r="K60" s="106"/>
      <c r="L60" s="109"/>
      <c r="M60" s="109"/>
      <c r="N60" s="109"/>
    </row>
    <row r="61" spans="1:14">
      <c r="B61" s="106"/>
      <c r="C61" s="106"/>
      <c r="D61" s="106"/>
      <c r="E61" s="106"/>
      <c r="F61" s="144"/>
      <c r="G61" s="106"/>
      <c r="H61" s="106"/>
      <c r="I61" s="106"/>
      <c r="J61" s="106"/>
      <c r="K61" s="106"/>
      <c r="L61" s="106"/>
      <c r="M61" s="106"/>
    </row>
    <row r="62" spans="1:14">
      <c r="B62" s="106"/>
      <c r="C62" s="106"/>
      <c r="D62" s="106"/>
      <c r="E62" s="106"/>
      <c r="F62" s="144"/>
      <c r="G62" s="106"/>
      <c r="H62" s="106"/>
      <c r="I62" s="106"/>
      <c r="J62" s="106"/>
      <c r="K62" s="106"/>
      <c r="L62" s="106"/>
      <c r="M62" s="106"/>
    </row>
    <row r="63" spans="1:14">
      <c r="B63" s="106"/>
      <c r="C63" s="106"/>
      <c r="D63" s="106"/>
      <c r="E63" s="106"/>
      <c r="F63" s="144"/>
      <c r="G63" s="106"/>
      <c r="H63" s="106"/>
      <c r="I63" s="106"/>
      <c r="J63" s="106"/>
      <c r="K63" s="106"/>
      <c r="L63" s="106"/>
      <c r="M63" s="106"/>
    </row>
  </sheetData>
  <mergeCells count="5">
    <mergeCell ref="B3:N3"/>
    <mergeCell ref="B7:N8"/>
    <mergeCell ref="B23:N24"/>
    <mergeCell ref="B34:N34"/>
    <mergeCell ref="B35:N36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3"/>
  <sheetViews>
    <sheetView showGridLines="0" workbookViewId="0">
      <selection activeCell="B13" sqref="B13"/>
    </sheetView>
  </sheetViews>
  <sheetFormatPr defaultRowHeight="15.75"/>
  <cols>
    <col min="1" max="1" width="1.5703125" style="108" bestFit="1" customWidth="1"/>
    <col min="2" max="2" width="61.7109375" style="108" bestFit="1" customWidth="1"/>
    <col min="3" max="6" width="18.7109375" style="108" bestFit="1" customWidth="1"/>
    <col min="7" max="7" width="18.7109375" style="148" bestFit="1" customWidth="1"/>
    <col min="8" max="12" width="18.7109375" style="108" bestFit="1" customWidth="1"/>
    <col min="13" max="13" width="16.5703125" style="108" bestFit="1" customWidth="1"/>
    <col min="14" max="14" width="18.7109375" style="108" bestFit="1" customWidth="1"/>
    <col min="15" max="15" width="20" style="108" bestFit="1" customWidth="1"/>
    <col min="16" max="16" width="14.85546875" customWidth="1"/>
  </cols>
  <sheetData>
    <row r="1" spans="1:16">
      <c r="A1" s="106" t="s">
        <v>118</v>
      </c>
      <c r="B1" s="106"/>
      <c r="C1" s="106"/>
      <c r="D1" s="106"/>
      <c r="E1" s="106"/>
      <c r="F1" s="106"/>
      <c r="G1" s="144"/>
      <c r="H1" s="106"/>
      <c r="I1" s="106"/>
      <c r="J1" s="106"/>
      <c r="K1" s="106"/>
      <c r="L1" s="106"/>
      <c r="M1" s="109"/>
      <c r="N1" s="109"/>
      <c r="O1" s="109"/>
    </row>
    <row r="2" spans="1:16">
      <c r="A2" s="106"/>
      <c r="B2" s="106"/>
      <c r="C2" s="106"/>
      <c r="D2" s="106"/>
      <c r="E2" s="106"/>
      <c r="F2" s="106"/>
      <c r="G2" s="144"/>
      <c r="H2" s="106"/>
      <c r="I2" s="106"/>
      <c r="J2" s="106"/>
      <c r="K2" s="106"/>
      <c r="L2" s="106"/>
      <c r="M2" s="109"/>
      <c r="N2" s="109"/>
      <c r="O2" s="109"/>
    </row>
    <row r="3" spans="1:16" ht="20.25">
      <c r="A3" s="106"/>
      <c r="B3" s="312" t="s">
        <v>173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</row>
    <row r="4" spans="1:16">
      <c r="A4" s="106"/>
      <c r="B4" s="106"/>
      <c r="C4" s="106"/>
      <c r="D4" s="106"/>
      <c r="E4" s="106"/>
      <c r="F4" s="106"/>
      <c r="G4" s="144"/>
      <c r="H4" s="106"/>
      <c r="I4" s="106"/>
      <c r="J4" s="106"/>
      <c r="K4" s="106"/>
      <c r="L4" s="106"/>
      <c r="M4" s="109"/>
      <c r="N4" s="109"/>
      <c r="O4" s="109"/>
    </row>
    <row r="5" spans="1:16">
      <c r="A5" s="106"/>
      <c r="B5" s="106"/>
      <c r="C5" s="106"/>
      <c r="D5" s="106"/>
      <c r="E5" s="106"/>
      <c r="F5" s="106"/>
      <c r="G5" s="144"/>
      <c r="H5" s="106"/>
      <c r="I5" s="106"/>
      <c r="J5" s="106"/>
      <c r="K5" s="106"/>
      <c r="L5" s="106"/>
      <c r="M5" s="109"/>
      <c r="N5" s="109"/>
      <c r="O5" s="109"/>
    </row>
    <row r="6" spans="1:16">
      <c r="A6" s="140"/>
      <c r="B6" s="139" t="s">
        <v>0</v>
      </c>
      <c r="C6" s="139" t="s">
        <v>119</v>
      </c>
      <c r="D6" s="139" t="s">
        <v>110</v>
      </c>
      <c r="E6" s="139" t="s">
        <v>101</v>
      </c>
      <c r="F6" s="139" t="s">
        <v>90</v>
      </c>
      <c r="G6" s="173" t="s">
        <v>85</v>
      </c>
      <c r="H6" s="139" t="s">
        <v>77</v>
      </c>
      <c r="I6" s="139" t="s">
        <v>69</v>
      </c>
      <c r="J6" s="139" t="s">
        <v>61</v>
      </c>
      <c r="K6" s="139" t="s">
        <v>53</v>
      </c>
      <c r="L6" s="139" t="s">
        <v>44</v>
      </c>
      <c r="M6" s="139" t="s">
        <v>151</v>
      </c>
      <c r="N6" s="139" t="s">
        <v>31</v>
      </c>
      <c r="O6" s="139">
        <v>2022</v>
      </c>
    </row>
    <row r="7" spans="1:16">
      <c r="A7" s="111"/>
      <c r="B7" s="289" t="s">
        <v>127</v>
      </c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</row>
    <row r="8" spans="1:16">
      <c r="A8" s="111"/>
      <c r="B8" s="291"/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</row>
    <row r="9" spans="1:16">
      <c r="A9" s="111"/>
      <c r="B9" s="118" t="s">
        <v>120</v>
      </c>
      <c r="C9" s="178" t="s">
        <v>2</v>
      </c>
      <c r="D9" s="178" t="s">
        <v>2</v>
      </c>
      <c r="E9" s="178" t="s">
        <v>2</v>
      </c>
      <c r="F9" s="118" t="s">
        <v>2</v>
      </c>
      <c r="G9" s="118" t="s">
        <v>2</v>
      </c>
      <c r="H9" s="118" t="s">
        <v>2</v>
      </c>
      <c r="I9" s="118" t="s">
        <v>2</v>
      </c>
      <c r="J9" s="118" t="s">
        <v>2</v>
      </c>
      <c r="K9" s="118" t="s">
        <v>2</v>
      </c>
      <c r="L9" s="118" t="s">
        <v>2</v>
      </c>
      <c r="M9" s="118" t="s">
        <v>2</v>
      </c>
      <c r="N9" s="118" t="s">
        <v>2</v>
      </c>
      <c r="O9" s="118" t="s">
        <v>2</v>
      </c>
    </row>
    <row r="10" spans="1:16">
      <c r="A10" s="106"/>
      <c r="B10" s="136" t="s">
        <v>3</v>
      </c>
      <c r="C10" s="168">
        <f>1200206.08+8359.7</f>
        <v>1208565.78</v>
      </c>
      <c r="D10" s="168">
        <f>603897.27+8359.7</f>
        <v>612256.97</v>
      </c>
      <c r="E10" s="168">
        <v>607654.94999999995</v>
      </c>
      <c r="F10" s="168">
        <v>635941.19999999995</v>
      </c>
      <c r="G10" s="168">
        <v>597854.14</v>
      </c>
      <c r="H10" s="168">
        <v>595267.09</v>
      </c>
      <c r="I10" s="168">
        <v>727581.54</v>
      </c>
      <c r="J10" s="168">
        <v>524966.87</v>
      </c>
      <c r="K10" s="168">
        <v>535990.88</v>
      </c>
      <c r="L10" s="168">
        <v>636880.65</v>
      </c>
      <c r="M10" s="138">
        <v>358179.72</v>
      </c>
      <c r="N10" s="138">
        <f>467985.07+2546.27</f>
        <v>470531.34</v>
      </c>
      <c r="O10" s="138">
        <f t="shared" ref="O10:O20" si="0">SUM(C10:N10)</f>
        <v>7511671.1300000008</v>
      </c>
    </row>
    <row r="11" spans="1:16">
      <c r="A11" s="106"/>
      <c r="B11" s="136" t="s">
        <v>4</v>
      </c>
      <c r="C11" s="182">
        <v>789084.5</v>
      </c>
      <c r="D11" s="182">
        <v>389618.14</v>
      </c>
      <c r="E11" s="182">
        <v>386739.3</v>
      </c>
      <c r="F11" s="168">
        <v>404739.76</v>
      </c>
      <c r="G11" s="169">
        <v>380502.6</v>
      </c>
      <c r="H11" s="169">
        <v>378856.21</v>
      </c>
      <c r="I11" s="169">
        <v>463056.11</v>
      </c>
      <c r="J11" s="169">
        <v>487801.26</v>
      </c>
      <c r="K11" s="169">
        <v>189358.6</v>
      </c>
      <c r="L11" s="169">
        <v>405387.8</v>
      </c>
      <c r="M11" s="135">
        <v>227932.55</v>
      </c>
      <c r="N11" s="135">
        <v>452327.34</v>
      </c>
      <c r="O11" s="138">
        <f t="shared" si="0"/>
        <v>4955404.17</v>
      </c>
    </row>
    <row r="12" spans="1:16">
      <c r="A12" s="106"/>
      <c r="B12" s="114" t="s">
        <v>233</v>
      </c>
      <c r="C12" s="171">
        <v>263303.75</v>
      </c>
      <c r="D12" s="171">
        <v>263303.75</v>
      </c>
      <c r="E12" s="171">
        <v>263303.75</v>
      </c>
      <c r="F12" s="171">
        <v>263303.75</v>
      </c>
      <c r="G12" s="171">
        <v>263303.75</v>
      </c>
      <c r="H12" s="171">
        <v>263303.75</v>
      </c>
      <c r="I12" s="171">
        <v>263303.75</v>
      </c>
      <c r="J12" s="171">
        <v>126693.92</v>
      </c>
      <c r="K12" s="171">
        <v>126693.92</v>
      </c>
      <c r="L12" s="170">
        <v>126693.92</v>
      </c>
      <c r="M12" s="115">
        <v>126693.92</v>
      </c>
      <c r="N12" s="115">
        <v>126693.92</v>
      </c>
      <c r="O12" s="138">
        <f t="shared" si="0"/>
        <v>2476595.8499999996</v>
      </c>
    </row>
    <row r="13" spans="1:16">
      <c r="A13" s="106"/>
      <c r="B13" s="114" t="s">
        <v>6</v>
      </c>
      <c r="C13" s="171">
        <f>481682.92-154472.93</f>
        <v>327209.99</v>
      </c>
      <c r="D13" s="171">
        <f>460999.72-285460.85</f>
        <v>175538.87</v>
      </c>
      <c r="E13" s="171">
        <v>681937.77</v>
      </c>
      <c r="F13" s="171">
        <v>404682.47</v>
      </c>
      <c r="G13" s="171">
        <v>676344.82</v>
      </c>
      <c r="H13" s="171">
        <v>421416.32</v>
      </c>
      <c r="I13" s="171">
        <v>-84090.74</v>
      </c>
      <c r="J13" s="171">
        <v>505838.52</v>
      </c>
      <c r="K13" s="171">
        <v>16001.38</v>
      </c>
      <c r="L13" s="171">
        <v>809918.94</v>
      </c>
      <c r="M13" s="115">
        <v>98226.79</v>
      </c>
      <c r="N13" s="115">
        <v>38967.99</v>
      </c>
      <c r="O13" s="138">
        <f t="shared" si="0"/>
        <v>4071993.1199999996</v>
      </c>
    </row>
    <row r="14" spans="1:16">
      <c r="A14" s="106"/>
      <c r="B14" s="114" t="s">
        <v>219</v>
      </c>
      <c r="C14" s="171">
        <v>57526.71</v>
      </c>
      <c r="D14" s="171">
        <v>57257.599999999999</v>
      </c>
      <c r="E14" s="171">
        <v>57441.41</v>
      </c>
      <c r="F14" s="171">
        <f>57964.94+57617.15</f>
        <v>115582.09</v>
      </c>
      <c r="G14" s="171">
        <v>0</v>
      </c>
      <c r="H14" s="171">
        <v>57607.77</v>
      </c>
      <c r="I14" s="171">
        <v>57349.7</v>
      </c>
      <c r="J14" s="171">
        <v>56759.4</v>
      </c>
      <c r="K14" s="171">
        <v>55805.13</v>
      </c>
      <c r="L14" s="171">
        <v>55252.6</v>
      </c>
      <c r="M14" s="115">
        <v>54884.88</v>
      </c>
      <c r="N14" s="115">
        <v>54487.12</v>
      </c>
      <c r="O14" s="138">
        <f t="shared" si="0"/>
        <v>679954.41</v>
      </c>
      <c r="P14" s="41"/>
    </row>
    <row r="15" spans="1:16">
      <c r="A15" s="106"/>
      <c r="B15" s="114" t="s">
        <v>154</v>
      </c>
      <c r="C15" s="171">
        <v>0</v>
      </c>
      <c r="D15" s="171">
        <v>0</v>
      </c>
      <c r="E15" s="171">
        <v>0</v>
      </c>
      <c r="F15" s="171">
        <v>0</v>
      </c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71">
        <v>0</v>
      </c>
      <c r="M15" s="171">
        <v>0</v>
      </c>
      <c r="N15" s="115">
        <v>23811.51</v>
      </c>
      <c r="O15" s="138">
        <f t="shared" si="0"/>
        <v>23811.51</v>
      </c>
      <c r="P15" s="184"/>
    </row>
    <row r="16" spans="1:16">
      <c r="A16" s="106"/>
      <c r="B16" s="114" t="s">
        <v>220</v>
      </c>
      <c r="C16" s="179">
        <v>13045.66</v>
      </c>
      <c r="D16" s="179">
        <v>12920.29</v>
      </c>
      <c r="E16" s="179">
        <v>12961.2</v>
      </c>
      <c r="F16" s="171">
        <v>12936.32</v>
      </c>
      <c r="G16" s="171">
        <v>12949.78</v>
      </c>
      <c r="H16" s="171">
        <v>12742.8</v>
      </c>
      <c r="I16" s="171">
        <v>12621.89</v>
      </c>
      <c r="J16" s="171">
        <v>12430.62</v>
      </c>
      <c r="K16" s="171">
        <v>12368.92</v>
      </c>
      <c r="L16" s="171">
        <v>11980.7</v>
      </c>
      <c r="M16" s="115">
        <v>11840.9</v>
      </c>
      <c r="N16" s="115">
        <v>11697.01</v>
      </c>
      <c r="O16" s="138">
        <f t="shared" si="0"/>
        <v>150496.09</v>
      </c>
    </row>
    <row r="17" spans="1:16">
      <c r="A17" s="106"/>
      <c r="B17" s="114" t="s">
        <v>221</v>
      </c>
      <c r="C17" s="179">
        <v>5438.79</v>
      </c>
      <c r="D17" s="179">
        <v>5386.52</v>
      </c>
      <c r="E17" s="179">
        <v>5403.56</v>
      </c>
      <c r="F17" s="171">
        <v>5393.18</v>
      </c>
      <c r="G17" s="171">
        <v>5398.8</v>
      </c>
      <c r="H17" s="171">
        <v>5312.52</v>
      </c>
      <c r="I17" s="171">
        <v>5262.12</v>
      </c>
      <c r="J17" s="171">
        <v>5182.37</v>
      </c>
      <c r="K17" s="171">
        <v>5156.6499999999996</v>
      </c>
      <c r="L17" s="171">
        <v>4994.8</v>
      </c>
      <c r="M17" s="115">
        <v>4936.5200000000004</v>
      </c>
      <c r="N17" s="115">
        <v>4876.53</v>
      </c>
      <c r="O17" s="138">
        <f t="shared" si="0"/>
        <v>62742.360000000015</v>
      </c>
    </row>
    <row r="18" spans="1:16">
      <c r="A18" s="106"/>
      <c r="B18" s="114" t="s">
        <v>222</v>
      </c>
      <c r="C18" s="179">
        <v>18632.310000000001</v>
      </c>
      <c r="D18" s="179">
        <v>18454</v>
      </c>
      <c r="E18" s="179">
        <v>18512.490000000002</v>
      </c>
      <c r="F18" s="171">
        <v>18476.41</v>
      </c>
      <c r="G18" s="171">
        <v>18497.71</v>
      </c>
      <c r="H18" s="171">
        <v>18201.28</v>
      </c>
      <c r="I18" s="171">
        <v>18028.2</v>
      </c>
      <c r="J18" s="171">
        <v>17753.55</v>
      </c>
      <c r="K18" s="171">
        <v>17665.8</v>
      </c>
      <c r="L18" s="171">
        <v>17111.64</v>
      </c>
      <c r="M18" s="115">
        <v>17026.22</v>
      </c>
      <c r="N18" s="115">
        <v>16706.07</v>
      </c>
      <c r="O18" s="138">
        <f t="shared" si="0"/>
        <v>215065.68000000002</v>
      </c>
    </row>
    <row r="19" spans="1:16">
      <c r="A19" s="106"/>
      <c r="B19" s="114" t="s">
        <v>178</v>
      </c>
      <c r="C19" s="179">
        <f>25918.64-C29</f>
        <v>22552.3</v>
      </c>
      <c r="D19" s="179">
        <f>12520.13-1429.51</f>
        <v>11090.619999999999</v>
      </c>
      <c r="E19" s="171">
        <v>7701.38</v>
      </c>
      <c r="F19" s="171">
        <v>11242.71</v>
      </c>
      <c r="G19" s="171">
        <v>11242.71</v>
      </c>
      <c r="H19" s="171">
        <v>11242.71</v>
      </c>
      <c r="I19" s="171">
        <v>11242.71</v>
      </c>
      <c r="J19" s="171">
        <v>11242.71</v>
      </c>
      <c r="K19" s="171">
        <v>82684.009999999995</v>
      </c>
      <c r="L19" s="171">
        <v>11242.71</v>
      </c>
      <c r="M19" s="115">
        <v>0</v>
      </c>
      <c r="N19" s="115">
        <v>0</v>
      </c>
      <c r="O19" s="138">
        <f t="shared" si="0"/>
        <v>191484.56999999998</v>
      </c>
    </row>
    <row r="20" spans="1:16">
      <c r="A20" s="106"/>
      <c r="B20" s="114" t="s">
        <v>192</v>
      </c>
      <c r="C20" s="179">
        <v>3431.5</v>
      </c>
      <c r="D20" s="171">
        <v>6222.96</v>
      </c>
      <c r="E20" s="115">
        <v>0</v>
      </c>
      <c r="F20" s="171">
        <f>1168.12+1943.36</f>
        <v>3111.4799999999996</v>
      </c>
      <c r="G20" s="171">
        <f>1168.12+1943.36</f>
        <v>3111.4799999999996</v>
      </c>
      <c r="H20" s="171">
        <f>1168.12+1943.36</f>
        <v>3111.4799999999996</v>
      </c>
      <c r="I20" s="171">
        <f>1168.12+1943.36</f>
        <v>3111.4799999999996</v>
      </c>
      <c r="J20" s="171">
        <f>(1168.12*2)+(1943.36*2)</f>
        <v>6222.9599999999991</v>
      </c>
      <c r="K20" s="171">
        <v>0</v>
      </c>
      <c r="L20" s="171">
        <v>15557.47</v>
      </c>
      <c r="M20" s="115">
        <v>1168.1199999999999</v>
      </c>
      <c r="N20" s="115">
        <v>3231.48</v>
      </c>
      <c r="O20" s="138">
        <f t="shared" si="0"/>
        <v>48280.41</v>
      </c>
      <c r="P20" s="184"/>
    </row>
    <row r="21" spans="1:16">
      <c r="A21" s="111"/>
      <c r="B21" s="116" t="s">
        <v>9</v>
      </c>
      <c r="C21" s="117">
        <f t="shared" ref="C21:D21" si="1">SUM(C10:C20)</f>
        <v>2708791.2900000005</v>
      </c>
      <c r="D21" s="117">
        <f t="shared" si="1"/>
        <v>1552049.7200000002</v>
      </c>
      <c r="E21" s="117">
        <f t="shared" ref="E21" si="2">SUM(E10:E20)</f>
        <v>2041655.8099999998</v>
      </c>
      <c r="F21" s="117">
        <f t="shared" ref="F21:N21" si="3">SUM(F10:F20)</f>
        <v>1875409.3699999999</v>
      </c>
      <c r="G21" s="117">
        <f t="shared" si="3"/>
        <v>1969205.79</v>
      </c>
      <c r="H21" s="117">
        <f t="shared" si="3"/>
        <v>1767061.9300000002</v>
      </c>
      <c r="I21" s="117">
        <f t="shared" si="3"/>
        <v>1477466.7599999998</v>
      </c>
      <c r="J21" s="117">
        <f t="shared" si="3"/>
        <v>1754892.1800000002</v>
      </c>
      <c r="K21" s="117">
        <f t="shared" si="3"/>
        <v>1041725.2900000002</v>
      </c>
      <c r="L21" s="117">
        <f t="shared" si="3"/>
        <v>2095021.2299999997</v>
      </c>
      <c r="M21" s="117">
        <f t="shared" si="3"/>
        <v>900889.62000000011</v>
      </c>
      <c r="N21" s="117">
        <f t="shared" si="3"/>
        <v>1203330.3100000003</v>
      </c>
      <c r="O21" s="117">
        <f>SUM(O10:O20)</f>
        <v>20387499.300000001</v>
      </c>
      <c r="P21" s="41"/>
    </row>
    <row r="22" spans="1:16">
      <c r="A22" s="106"/>
      <c r="B22" s="106"/>
      <c r="C22" s="106"/>
      <c r="D22" s="106"/>
      <c r="E22" s="143"/>
      <c r="F22" s="106"/>
      <c r="G22" s="181"/>
      <c r="H22" s="106"/>
      <c r="I22" s="106"/>
      <c r="J22" s="106"/>
      <c r="K22" s="106"/>
      <c r="L22" s="106"/>
      <c r="M22" s="109"/>
      <c r="N22" s="109"/>
      <c r="O22" s="109"/>
    </row>
    <row r="23" spans="1:16">
      <c r="A23" s="111"/>
      <c r="B23" s="289" t="s">
        <v>128</v>
      </c>
      <c r="C23" s="290"/>
      <c r="D23" s="290"/>
      <c r="E23" s="290"/>
      <c r="F23" s="290"/>
      <c r="G23" s="290"/>
      <c r="H23" s="290"/>
      <c r="I23" s="290"/>
      <c r="J23" s="290"/>
      <c r="K23" s="290"/>
      <c r="L23" s="290"/>
      <c r="M23" s="290"/>
      <c r="N23" s="290"/>
      <c r="O23" s="290"/>
    </row>
    <row r="24" spans="1:16">
      <c r="A24" s="106"/>
      <c r="B24" s="291"/>
      <c r="C24" s="292"/>
      <c r="D24" s="292"/>
      <c r="E24" s="292"/>
      <c r="F24" s="292"/>
      <c r="G24" s="292"/>
      <c r="H24" s="292"/>
      <c r="I24" s="292"/>
      <c r="J24" s="292"/>
      <c r="K24" s="292"/>
      <c r="L24" s="292"/>
      <c r="M24" s="292"/>
      <c r="N24" s="292"/>
      <c r="O24" s="292"/>
    </row>
    <row r="25" spans="1:16">
      <c r="A25" s="106"/>
      <c r="B25" s="118" t="s">
        <v>121</v>
      </c>
      <c r="C25" s="118" t="s">
        <v>2</v>
      </c>
      <c r="D25" s="118" t="s">
        <v>2</v>
      </c>
      <c r="E25" s="118" t="s">
        <v>2</v>
      </c>
      <c r="F25" s="118" t="s">
        <v>2</v>
      </c>
      <c r="G25" s="118" t="s">
        <v>2</v>
      </c>
      <c r="H25" s="118" t="s">
        <v>2</v>
      </c>
      <c r="I25" s="118" t="s">
        <v>2</v>
      </c>
      <c r="J25" s="118" t="s">
        <v>2</v>
      </c>
      <c r="K25" s="118" t="s">
        <v>2</v>
      </c>
      <c r="L25" s="118" t="s">
        <v>2</v>
      </c>
      <c r="M25" s="118" t="s">
        <v>2</v>
      </c>
      <c r="N25" s="118" t="s">
        <v>2</v>
      </c>
      <c r="O25" s="118" t="s">
        <v>2</v>
      </c>
    </row>
    <row r="26" spans="1:16">
      <c r="A26" s="106"/>
      <c r="B26" s="114" t="s">
        <v>207</v>
      </c>
      <c r="C26" s="171">
        <v>926869.39</v>
      </c>
      <c r="D26" s="171">
        <v>626353.94999999995</v>
      </c>
      <c r="E26" s="171">
        <v>628298.59</v>
      </c>
      <c r="F26" s="171">
        <v>621961.06000000006</v>
      </c>
      <c r="G26" s="179">
        <v>615746.06999999995</v>
      </c>
      <c r="H26" s="171">
        <v>617621.43000000005</v>
      </c>
      <c r="I26" s="179">
        <v>925293.45</v>
      </c>
      <c r="J26" s="179">
        <v>755023.19</v>
      </c>
      <c r="K26" s="179">
        <v>548127.35</v>
      </c>
      <c r="L26" s="179">
        <v>542075.24</v>
      </c>
      <c r="M26" s="189">
        <v>495470.49</v>
      </c>
      <c r="N26" s="115">
        <v>487626.13</v>
      </c>
      <c r="O26" s="115">
        <f>SUM(C26:N26)</f>
        <v>7790466.3399999989</v>
      </c>
      <c r="P26" s="184"/>
    </row>
    <row r="27" spans="1:16">
      <c r="A27" s="106"/>
      <c r="B27" s="114" t="s">
        <v>150</v>
      </c>
      <c r="C27" s="171">
        <v>105017.54</v>
      </c>
      <c r="D27" s="171">
        <v>66848.59</v>
      </c>
      <c r="E27" s="171">
        <v>66848.59</v>
      </c>
      <c r="F27" s="171">
        <v>66848.59</v>
      </c>
      <c r="G27" s="179">
        <v>69264.009999999995</v>
      </c>
      <c r="H27" s="171">
        <v>64433.17</v>
      </c>
      <c r="I27" s="179">
        <v>97154.79</v>
      </c>
      <c r="J27" s="179">
        <v>67044.08</v>
      </c>
      <c r="K27" s="179">
        <v>64945.72</v>
      </c>
      <c r="L27" s="179">
        <v>64945.72</v>
      </c>
      <c r="M27" s="189">
        <v>63584.02</v>
      </c>
      <c r="N27" s="115">
        <v>65481.06</v>
      </c>
      <c r="O27" s="115">
        <f>SUM(C27:N27)</f>
        <v>862415.87999999989</v>
      </c>
    </row>
    <row r="28" spans="1:16">
      <c r="A28" s="106"/>
      <c r="B28" s="114" t="s">
        <v>171</v>
      </c>
      <c r="C28" s="172">
        <v>63932.53</v>
      </c>
      <c r="D28" s="172">
        <v>37105.31</v>
      </c>
      <c r="E28" s="172">
        <v>37053.96</v>
      </c>
      <c r="F28" s="191">
        <v>37429.24</v>
      </c>
      <c r="G28" s="191">
        <v>36658.53</v>
      </c>
      <c r="H28" s="191">
        <v>38537.58</v>
      </c>
      <c r="I28" s="191">
        <v>46269.5</v>
      </c>
      <c r="J28" s="191">
        <v>40256.519999999997</v>
      </c>
      <c r="K28" s="191">
        <v>27034.39</v>
      </c>
      <c r="L28" s="191">
        <v>24052.01</v>
      </c>
      <c r="M28" s="190">
        <v>21886.080000000002</v>
      </c>
      <c r="N28" s="119">
        <v>17676.18</v>
      </c>
      <c r="O28" s="115">
        <f>SUM(C28:N28)</f>
        <v>427891.83</v>
      </c>
      <c r="P28" s="184"/>
    </row>
    <row r="29" spans="1:16">
      <c r="A29" s="106"/>
      <c r="B29" s="114" t="s">
        <v>193</v>
      </c>
      <c r="C29" s="171">
        <v>3366.34</v>
      </c>
      <c r="D29" s="171">
        <v>1683.17</v>
      </c>
      <c r="E29" s="171">
        <v>4818.75</v>
      </c>
      <c r="F29" s="171">
        <f>1531.08</f>
        <v>1531.08</v>
      </c>
      <c r="G29" s="179">
        <f>1531.08</f>
        <v>1531.08</v>
      </c>
      <c r="H29" s="179">
        <v>1277.42</v>
      </c>
      <c r="I29" s="179">
        <f>1531.08</f>
        <v>1531.08</v>
      </c>
      <c r="J29" s="179">
        <v>16262.03</v>
      </c>
      <c r="K29" s="179">
        <v>0</v>
      </c>
      <c r="L29" s="179">
        <v>0</v>
      </c>
      <c r="M29" s="189">
        <v>0</v>
      </c>
      <c r="N29" s="115">
        <v>0</v>
      </c>
      <c r="O29" s="115">
        <f>SUM(C29:N29)</f>
        <v>32000.95</v>
      </c>
      <c r="P29" s="184"/>
    </row>
    <row r="30" spans="1:16">
      <c r="A30" s="106"/>
      <c r="B30" s="114" t="s">
        <v>130</v>
      </c>
      <c r="C30" s="172">
        <v>102154.48</v>
      </c>
      <c r="D30" s="172">
        <f>797045.22-D26-D27-D28-D29</f>
        <v>65054.200000000026</v>
      </c>
      <c r="E30" s="172">
        <f>779493.31-E26-E27-E28-E29</f>
        <v>42473.420000000093</v>
      </c>
      <c r="F30" s="172">
        <v>45044</v>
      </c>
      <c r="G30" s="191">
        <v>76149.100000000006</v>
      </c>
      <c r="H30" s="172">
        <v>46552.78</v>
      </c>
      <c r="I30" s="191">
        <v>89171.65</v>
      </c>
      <c r="J30" s="191">
        <v>37362.04</v>
      </c>
      <c r="K30" s="191">
        <v>55560.09</v>
      </c>
      <c r="L30" s="191">
        <v>22252.83</v>
      </c>
      <c r="M30" s="190">
        <v>14595.13</v>
      </c>
      <c r="N30" s="119">
        <v>7086.12</v>
      </c>
      <c r="O30" s="115">
        <f>SUM(C30:N30)</f>
        <v>603455.84000000008</v>
      </c>
      <c r="P30" s="184"/>
    </row>
    <row r="31" spans="1:16">
      <c r="A31" s="111"/>
      <c r="B31" s="120" t="s">
        <v>84</v>
      </c>
      <c r="C31" s="121">
        <f t="shared" ref="C31" si="4">SUM(C26:C30)</f>
        <v>1201340.28</v>
      </c>
      <c r="D31" s="121">
        <f t="shared" ref="D31:E31" si="5">SUM(D26:D30)</f>
        <v>797045.22</v>
      </c>
      <c r="E31" s="121">
        <f t="shared" si="5"/>
        <v>779493.30999999994</v>
      </c>
      <c r="F31" s="121">
        <f t="shared" ref="F31:N31" si="6">SUM(F26:F30)</f>
        <v>772813.97</v>
      </c>
      <c r="G31" s="121">
        <f t="shared" si="6"/>
        <v>799348.78999999992</v>
      </c>
      <c r="H31" s="121">
        <f t="shared" si="6"/>
        <v>768422.38000000012</v>
      </c>
      <c r="I31" s="121">
        <f t="shared" si="6"/>
        <v>1159420.47</v>
      </c>
      <c r="J31" s="121">
        <f t="shared" si="6"/>
        <v>915947.86</v>
      </c>
      <c r="K31" s="121">
        <f t="shared" si="6"/>
        <v>695667.54999999993</v>
      </c>
      <c r="L31" s="121">
        <f t="shared" si="6"/>
        <v>653325.79999999993</v>
      </c>
      <c r="M31" s="121">
        <f t="shared" si="6"/>
        <v>595535.72</v>
      </c>
      <c r="N31" s="121">
        <f t="shared" si="6"/>
        <v>577869.49</v>
      </c>
      <c r="O31" s="121">
        <f>SUM(O26:O30)</f>
        <v>9716230.839999998</v>
      </c>
      <c r="P31" s="185"/>
    </row>
    <row r="32" spans="1:16">
      <c r="A32" s="111"/>
      <c r="B32" s="163" t="s">
        <v>14</v>
      </c>
      <c r="C32" s="164">
        <f t="shared" ref="C32" si="7">C21-C31</f>
        <v>1507451.0100000005</v>
      </c>
      <c r="D32" s="164">
        <f t="shared" ref="D32:N32" si="8">D21-D31</f>
        <v>755004.50000000023</v>
      </c>
      <c r="E32" s="164">
        <f t="shared" si="8"/>
        <v>1262162.5</v>
      </c>
      <c r="F32" s="164">
        <f t="shared" si="8"/>
        <v>1102595.3999999999</v>
      </c>
      <c r="G32" s="164">
        <f t="shared" si="8"/>
        <v>1169857</v>
      </c>
      <c r="H32" s="164">
        <f t="shared" si="8"/>
        <v>998639.55</v>
      </c>
      <c r="I32" s="164">
        <f t="shared" si="8"/>
        <v>318046.2899999998</v>
      </c>
      <c r="J32" s="164">
        <f t="shared" si="8"/>
        <v>838944.32000000018</v>
      </c>
      <c r="K32" s="164">
        <f t="shared" si="8"/>
        <v>346057.74000000022</v>
      </c>
      <c r="L32" s="164">
        <f t="shared" si="8"/>
        <v>1441695.4299999997</v>
      </c>
      <c r="M32" s="164">
        <f t="shared" si="8"/>
        <v>305353.90000000014</v>
      </c>
      <c r="N32" s="164">
        <f t="shared" si="8"/>
        <v>625460.8200000003</v>
      </c>
      <c r="O32" s="159">
        <f>O21-O31</f>
        <v>10671268.460000003</v>
      </c>
      <c r="P32" s="184"/>
    </row>
    <row r="33" spans="1:16" s="188" customFormat="1">
      <c r="A33" s="186"/>
      <c r="B33" s="186"/>
      <c r="C33" s="186"/>
      <c r="D33" s="186"/>
      <c r="E33" s="186"/>
      <c r="F33" s="187"/>
      <c r="G33" s="187"/>
      <c r="H33" s="187"/>
      <c r="I33" s="187"/>
      <c r="J33" s="187"/>
      <c r="K33" s="187"/>
      <c r="L33" s="187"/>
      <c r="M33" s="187"/>
      <c r="N33" s="187"/>
      <c r="O33" s="186"/>
    </row>
    <row r="34" spans="1:16">
      <c r="A34" s="111"/>
      <c r="B34" s="307" t="s">
        <v>15</v>
      </c>
      <c r="C34" s="308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308"/>
      <c r="O34" s="309"/>
      <c r="P34" s="41"/>
    </row>
    <row r="35" spans="1:16">
      <c r="A35" s="111"/>
      <c r="B35" s="289" t="s">
        <v>16</v>
      </c>
      <c r="C35" s="290"/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310"/>
    </row>
    <row r="36" spans="1:16">
      <c r="A36" s="106"/>
      <c r="B36" s="291"/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311"/>
    </row>
    <row r="37" spans="1:16">
      <c r="A37" s="106"/>
      <c r="B37" s="153" t="s">
        <v>17</v>
      </c>
      <c r="C37" s="165"/>
      <c r="D37" s="165"/>
      <c r="E37" s="165"/>
      <c r="F37" s="165"/>
      <c r="G37" s="174"/>
      <c r="H37" s="165"/>
      <c r="I37" s="165"/>
      <c r="J37" s="165"/>
      <c r="K37" s="165"/>
      <c r="L37" s="165"/>
      <c r="M37" s="154"/>
      <c r="N37" s="154"/>
      <c r="O37" s="130" t="s">
        <v>2</v>
      </c>
    </row>
    <row r="38" spans="1:16">
      <c r="A38" s="106"/>
      <c r="B38" s="136" t="s">
        <v>180</v>
      </c>
      <c r="C38" s="183"/>
      <c r="D38" s="183"/>
      <c r="E38" s="166"/>
      <c r="F38" s="166"/>
      <c r="G38" s="175"/>
      <c r="H38" s="166"/>
      <c r="I38" s="166"/>
      <c r="J38" s="166"/>
      <c r="K38" s="166"/>
      <c r="L38" s="166"/>
      <c r="M38" s="155"/>
      <c r="N38" s="155"/>
      <c r="O38" s="161">
        <v>878.38</v>
      </c>
    </row>
    <row r="39" spans="1:16">
      <c r="A39" s="106"/>
      <c r="B39" s="136" t="s">
        <v>181</v>
      </c>
      <c r="C39" s="166"/>
      <c r="D39" s="166"/>
      <c r="E39" s="166"/>
      <c r="F39" s="166"/>
      <c r="G39" s="175"/>
      <c r="H39" s="166"/>
      <c r="I39" s="166"/>
      <c r="J39" s="166"/>
      <c r="K39" s="166"/>
      <c r="L39" s="166"/>
      <c r="M39" s="155"/>
      <c r="N39" s="155"/>
      <c r="O39" s="161">
        <v>0</v>
      </c>
    </row>
    <row r="40" spans="1:16">
      <c r="A40" s="106"/>
      <c r="B40" s="136" t="s">
        <v>132</v>
      </c>
      <c r="C40" s="166"/>
      <c r="D40" s="166"/>
      <c r="E40" s="166"/>
      <c r="F40" s="166"/>
      <c r="G40" s="175"/>
      <c r="H40" s="166"/>
      <c r="I40" s="166"/>
      <c r="J40" s="166"/>
      <c r="K40" s="166"/>
      <c r="L40" s="166"/>
      <c r="M40" s="155"/>
      <c r="N40" s="155"/>
      <c r="O40" s="161">
        <v>0</v>
      </c>
    </row>
    <row r="41" spans="1:16">
      <c r="A41" s="106"/>
      <c r="B41" s="136" t="s">
        <v>208</v>
      </c>
      <c r="C41" s="166"/>
      <c r="D41" s="166"/>
      <c r="E41" s="166"/>
      <c r="F41" s="166"/>
      <c r="G41" s="175"/>
      <c r="H41" s="166"/>
      <c r="I41" s="166"/>
      <c r="J41" s="166"/>
      <c r="K41" s="166"/>
      <c r="L41" s="166"/>
      <c r="M41" s="155"/>
      <c r="N41" s="155"/>
      <c r="O41" s="161">
        <v>0</v>
      </c>
    </row>
    <row r="42" spans="1:16">
      <c r="A42" s="106"/>
      <c r="B42" s="136" t="s">
        <v>20</v>
      </c>
      <c r="C42" s="166"/>
      <c r="D42" s="166"/>
      <c r="E42" s="166"/>
      <c r="F42" s="166"/>
      <c r="G42" s="175"/>
      <c r="H42" s="166"/>
      <c r="I42" s="166"/>
      <c r="J42" s="166"/>
      <c r="K42" s="166"/>
      <c r="L42" s="166"/>
      <c r="M42" s="155"/>
      <c r="N42" s="155"/>
      <c r="O42" s="161">
        <v>327635.3</v>
      </c>
      <c r="P42" s="41"/>
    </row>
    <row r="43" spans="1:16">
      <c r="A43" s="106"/>
      <c r="B43" s="136" t="s">
        <v>21</v>
      </c>
      <c r="C43" s="166"/>
      <c r="D43" s="166"/>
      <c r="E43" s="166"/>
      <c r="F43" s="166"/>
      <c r="G43" s="175"/>
      <c r="H43" s="166"/>
      <c r="I43" s="166"/>
      <c r="J43" s="166"/>
      <c r="K43" s="166"/>
      <c r="L43" s="166"/>
      <c r="M43" s="155"/>
      <c r="N43" s="155"/>
      <c r="O43" s="161">
        <v>820.57</v>
      </c>
    </row>
    <row r="44" spans="1:16">
      <c r="A44" s="106"/>
      <c r="B44" s="136" t="s">
        <v>22</v>
      </c>
      <c r="C44" s="166"/>
      <c r="D44" s="166"/>
      <c r="E44" s="166"/>
      <c r="F44" s="166"/>
      <c r="G44" s="175"/>
      <c r="H44" s="166"/>
      <c r="I44" s="166"/>
      <c r="J44" s="166"/>
      <c r="K44" s="166"/>
      <c r="L44" s="166"/>
      <c r="M44" s="155"/>
      <c r="N44" s="155"/>
      <c r="O44" s="161">
        <v>494.81</v>
      </c>
    </row>
    <row r="45" spans="1:16">
      <c r="A45" s="106"/>
      <c r="B45" s="153" t="s">
        <v>23</v>
      </c>
      <c r="C45" s="165"/>
      <c r="D45" s="165"/>
      <c r="E45" s="165"/>
      <c r="F45" s="165"/>
      <c r="G45" s="174"/>
      <c r="H45" s="165"/>
      <c r="I45" s="165"/>
      <c r="J45" s="165"/>
      <c r="K45" s="165"/>
      <c r="L45" s="165"/>
      <c r="M45" s="154"/>
      <c r="N45" s="154"/>
      <c r="O45" s="160">
        <f>SUM(O38:O44)</f>
        <v>329829.06</v>
      </c>
    </row>
    <row r="46" spans="1:16">
      <c r="A46" s="106"/>
      <c r="B46" s="157"/>
      <c r="C46" s="106"/>
      <c r="D46" s="106"/>
      <c r="E46" s="106"/>
      <c r="F46" s="106"/>
      <c r="G46" s="144"/>
      <c r="H46" s="106"/>
      <c r="I46" s="106"/>
      <c r="J46" s="106"/>
      <c r="K46" s="106"/>
      <c r="L46" s="106"/>
      <c r="M46" s="150"/>
      <c r="N46" s="150"/>
      <c r="O46" s="150"/>
    </row>
    <row r="47" spans="1:16">
      <c r="A47" s="106"/>
      <c r="B47" s="153" t="s">
        <v>24</v>
      </c>
      <c r="C47" s="165"/>
      <c r="D47" s="165"/>
      <c r="E47" s="165"/>
      <c r="F47" s="165"/>
      <c r="G47" s="174"/>
      <c r="H47" s="165"/>
      <c r="I47" s="165"/>
      <c r="J47" s="165"/>
      <c r="K47" s="165"/>
      <c r="L47" s="165"/>
      <c r="M47" s="154"/>
      <c r="N47" s="154"/>
      <c r="O47" s="130" t="s">
        <v>2</v>
      </c>
    </row>
    <row r="48" spans="1:16">
      <c r="A48" s="106"/>
      <c r="B48" s="136" t="s">
        <v>200</v>
      </c>
      <c r="C48" s="166"/>
      <c r="D48" s="166"/>
      <c r="E48" s="166"/>
      <c r="F48" s="166"/>
      <c r="G48" s="175"/>
      <c r="H48" s="166"/>
      <c r="I48" s="166"/>
      <c r="J48" s="166"/>
      <c r="K48" s="166"/>
      <c r="L48" s="166"/>
      <c r="M48" s="155"/>
      <c r="N48" s="155"/>
      <c r="O48" s="161">
        <v>10256929.58</v>
      </c>
    </row>
    <row r="49" spans="1:15">
      <c r="A49" s="106"/>
      <c r="B49" s="136" t="s">
        <v>206</v>
      </c>
      <c r="C49" s="166"/>
      <c r="D49" s="166"/>
      <c r="E49" s="166"/>
      <c r="F49" s="166"/>
      <c r="G49" s="175"/>
      <c r="H49" s="166"/>
      <c r="I49" s="166"/>
      <c r="J49" s="166"/>
      <c r="K49" s="166"/>
      <c r="L49" s="166"/>
      <c r="M49" s="155"/>
      <c r="N49" s="155"/>
      <c r="O49" s="161">
        <v>9923831.7599999998</v>
      </c>
    </row>
    <row r="50" spans="1:15">
      <c r="A50" s="106"/>
      <c r="B50" s="136" t="s">
        <v>25</v>
      </c>
      <c r="C50" s="166"/>
      <c r="D50" s="166"/>
      <c r="E50" s="166"/>
      <c r="F50" s="166"/>
      <c r="G50" s="175"/>
      <c r="H50" s="166"/>
      <c r="I50" s="166"/>
      <c r="J50" s="166"/>
      <c r="K50" s="166"/>
      <c r="L50" s="166"/>
      <c r="M50" s="155"/>
      <c r="N50" s="155"/>
      <c r="O50" s="161">
        <f>1328100.14+8026547.58+3125450.82+2131796.99+1683384.78+1154752.44+3558780.67+3027673.14+396929.9+368189.79+1122514.73+419793.45+272443.09+1275455.31</f>
        <v>27891812.829999998</v>
      </c>
    </row>
    <row r="51" spans="1:15">
      <c r="B51" s="136" t="s">
        <v>26</v>
      </c>
      <c r="C51" s="166"/>
      <c r="D51" s="166"/>
      <c r="E51" s="166"/>
      <c r="F51" s="166"/>
      <c r="G51" s="175"/>
      <c r="H51" s="166"/>
      <c r="I51" s="166"/>
      <c r="J51" s="166"/>
      <c r="K51" s="166"/>
      <c r="L51" s="166"/>
      <c r="M51" s="155"/>
      <c r="N51" s="155"/>
      <c r="O51" s="161">
        <f>6201772.04+894157.39+1518356.48+64658.36+900601.37+439077.35</f>
        <v>10018622.989999998</v>
      </c>
    </row>
    <row r="52" spans="1:15">
      <c r="B52" s="136" t="s">
        <v>131</v>
      </c>
      <c r="C52" s="166"/>
      <c r="D52" s="166"/>
      <c r="E52" s="166"/>
      <c r="F52" s="166"/>
      <c r="G52" s="175"/>
      <c r="H52" s="166"/>
      <c r="I52" s="166"/>
      <c r="J52" s="166"/>
      <c r="K52" s="166"/>
      <c r="L52" s="166"/>
      <c r="M52" s="155"/>
      <c r="N52" s="155"/>
      <c r="O52" s="161">
        <v>248252.2</v>
      </c>
    </row>
    <row r="53" spans="1:15">
      <c r="B53" s="153" t="s">
        <v>28</v>
      </c>
      <c r="C53" s="165"/>
      <c r="D53" s="165"/>
      <c r="E53" s="165"/>
      <c r="F53" s="165"/>
      <c r="G53" s="174"/>
      <c r="H53" s="165"/>
      <c r="I53" s="165"/>
      <c r="J53" s="165"/>
      <c r="K53" s="165"/>
      <c r="L53" s="165"/>
      <c r="M53" s="154"/>
      <c r="N53" s="154"/>
      <c r="O53" s="160">
        <f>SUM(O48:O52)</f>
        <v>58339449.359999999</v>
      </c>
    </row>
    <row r="54" spans="1:15">
      <c r="B54" s="158"/>
      <c r="C54" s="131"/>
      <c r="D54" s="131"/>
      <c r="E54" s="131"/>
      <c r="F54" s="131"/>
      <c r="G54" s="176"/>
      <c r="H54" s="131"/>
      <c r="I54" s="131"/>
      <c r="J54" s="131"/>
      <c r="K54" s="131"/>
      <c r="L54" s="131"/>
      <c r="M54" s="132"/>
      <c r="N54" s="132"/>
      <c r="O54" s="155"/>
    </row>
    <row r="55" spans="1:15">
      <c r="B55" s="133" t="s">
        <v>29</v>
      </c>
      <c r="C55" s="167"/>
      <c r="D55" s="167"/>
      <c r="E55" s="167"/>
      <c r="F55" s="167"/>
      <c r="G55" s="177"/>
      <c r="H55" s="167"/>
      <c r="I55" s="167"/>
      <c r="J55" s="167"/>
      <c r="K55" s="167"/>
      <c r="L55" s="167"/>
      <c r="M55" s="156"/>
      <c r="N55" s="156"/>
      <c r="O55" s="162">
        <f>O53+O45</f>
        <v>58669278.420000002</v>
      </c>
    </row>
    <row r="56" spans="1:15">
      <c r="B56" s="106"/>
      <c r="C56" s="106"/>
      <c r="D56" s="106"/>
      <c r="E56" s="106"/>
      <c r="F56" s="106"/>
      <c r="G56" s="147"/>
      <c r="H56" s="106"/>
      <c r="I56" s="106"/>
      <c r="J56" s="106"/>
      <c r="K56" s="106"/>
      <c r="L56" s="106"/>
      <c r="M56" s="109"/>
      <c r="N56" s="109"/>
      <c r="O56" s="109"/>
    </row>
    <row r="57" spans="1:15">
      <c r="B57" s="106"/>
      <c r="C57" s="106"/>
      <c r="D57" s="106"/>
      <c r="E57" s="106"/>
      <c r="F57" s="106"/>
      <c r="G57" s="147"/>
      <c r="H57" s="106"/>
      <c r="I57" s="106"/>
      <c r="J57" s="106"/>
      <c r="K57" s="106"/>
      <c r="L57" s="106"/>
      <c r="M57" s="109"/>
      <c r="N57" s="109"/>
      <c r="O57" s="109"/>
    </row>
    <row r="58" spans="1:15">
      <c r="B58" s="106"/>
      <c r="C58" s="106"/>
      <c r="D58" s="106"/>
      <c r="E58" s="106"/>
      <c r="F58" s="106"/>
      <c r="G58" s="147"/>
      <c r="H58" s="106"/>
      <c r="I58" s="106"/>
      <c r="J58" s="106"/>
      <c r="K58" s="106"/>
      <c r="L58" s="106"/>
      <c r="M58" s="109"/>
      <c r="N58" s="109"/>
      <c r="O58" s="109"/>
    </row>
    <row r="59" spans="1:15">
      <c r="B59" s="106"/>
      <c r="C59" s="106"/>
      <c r="D59" s="106"/>
      <c r="E59" s="106"/>
      <c r="F59" s="106"/>
      <c r="G59" s="147"/>
      <c r="H59" s="106"/>
      <c r="I59" s="106"/>
      <c r="J59" s="106"/>
      <c r="K59" s="106"/>
      <c r="L59" s="106"/>
      <c r="M59" s="109"/>
      <c r="N59" s="109"/>
      <c r="O59" s="109"/>
    </row>
    <row r="60" spans="1:15">
      <c r="B60" s="106"/>
      <c r="C60" s="106"/>
      <c r="D60" s="106"/>
      <c r="E60" s="106"/>
      <c r="F60" s="106"/>
      <c r="G60" s="147"/>
      <c r="H60" s="106"/>
      <c r="I60" s="106"/>
      <c r="J60" s="106"/>
      <c r="K60" s="106"/>
      <c r="L60" s="106"/>
      <c r="M60" s="109"/>
      <c r="N60" s="109"/>
      <c r="O60" s="109"/>
    </row>
    <row r="61" spans="1:15">
      <c r="B61" s="106"/>
      <c r="C61" s="106"/>
      <c r="D61" s="106"/>
      <c r="E61" s="106"/>
      <c r="F61" s="106"/>
      <c r="G61" s="144"/>
      <c r="H61" s="106"/>
      <c r="I61" s="106"/>
      <c r="J61" s="106"/>
      <c r="K61" s="106"/>
      <c r="L61" s="106"/>
      <c r="M61" s="106"/>
      <c r="N61" s="106"/>
    </row>
    <row r="62" spans="1:15">
      <c r="B62" s="106"/>
      <c r="C62" s="106"/>
      <c r="D62" s="106"/>
      <c r="E62" s="106"/>
      <c r="F62" s="106"/>
      <c r="G62" s="144"/>
      <c r="H62" s="106"/>
      <c r="I62" s="106"/>
      <c r="J62" s="106"/>
      <c r="K62" s="106"/>
      <c r="L62" s="106"/>
      <c r="M62" s="106"/>
      <c r="N62" s="106"/>
    </row>
    <row r="63" spans="1:15">
      <c r="B63" s="106"/>
      <c r="C63" s="106"/>
      <c r="D63" s="106"/>
      <c r="E63" s="106"/>
      <c r="F63" s="106"/>
      <c r="G63" s="144"/>
      <c r="H63" s="106"/>
      <c r="I63" s="106"/>
      <c r="J63" s="106"/>
      <c r="K63" s="106"/>
      <c r="L63" s="106"/>
      <c r="M63" s="106"/>
      <c r="N63" s="106"/>
    </row>
  </sheetData>
  <mergeCells count="5">
    <mergeCell ref="B3:O3"/>
    <mergeCell ref="B7:O8"/>
    <mergeCell ref="B23:O24"/>
    <mergeCell ref="B34:O34"/>
    <mergeCell ref="B35:O36"/>
  </mergeCells>
  <pageMargins left="0.511811024" right="0.511811024" top="0.78740157499999996" bottom="0.78740157499999996" header="0.31496062000000002" footer="0.31496062000000002"/>
  <pageSetup paperSize="9" scale="44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7"/>
  <sheetViews>
    <sheetView workbookViewId="0">
      <selection activeCell="C11" sqref="C11"/>
    </sheetView>
  </sheetViews>
  <sheetFormatPr defaultRowHeight="15.75" customHeight="1"/>
  <cols>
    <col min="1" max="1" width="15.5703125" style="108" customWidth="1"/>
    <col min="2" max="2" width="59.7109375" style="108" customWidth="1"/>
    <col min="3" max="4" width="20" style="108" bestFit="1" customWidth="1"/>
    <col min="5" max="5" width="6.85546875" style="108" customWidth="1"/>
    <col min="6" max="6" width="18.85546875" style="148" bestFit="1" customWidth="1"/>
    <col min="7" max="7" width="14.7109375" style="151" bestFit="1" customWidth="1"/>
    <col min="8" max="8" width="13.5703125" style="151" bestFit="1" customWidth="1"/>
    <col min="9" max="20" width="9.5703125" style="108" customWidth="1"/>
    <col min="21" max="1024" width="9.42578125" style="108" customWidth="1"/>
    <col min="1025" max="16384" width="9.140625" style="108"/>
  </cols>
  <sheetData>
    <row r="1" spans="1:20">
      <c r="A1" s="106" t="s">
        <v>118</v>
      </c>
      <c r="B1" s="106"/>
      <c r="C1" s="109"/>
      <c r="D1" s="109"/>
      <c r="E1" s="106"/>
      <c r="F1" s="144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>
      <c r="A2" s="106"/>
      <c r="B2" s="106"/>
      <c r="C2" s="109"/>
      <c r="D2" s="109"/>
      <c r="E2" s="106"/>
      <c r="F2" s="144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>
      <c r="A3" s="106"/>
      <c r="B3" s="106"/>
      <c r="C3" s="109"/>
      <c r="D3" s="109"/>
      <c r="E3" s="106"/>
      <c r="F3" s="144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1:20">
      <c r="A4" s="106"/>
      <c r="B4" s="106"/>
      <c r="C4" s="109"/>
      <c r="D4" s="109"/>
      <c r="E4" s="106"/>
      <c r="F4" s="144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1:20">
      <c r="A5" s="106"/>
      <c r="B5" s="106"/>
      <c r="C5" s="109"/>
      <c r="D5" s="109"/>
      <c r="E5" s="106"/>
      <c r="F5" s="144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1:20" s="141" customFormat="1">
      <c r="A6" s="140"/>
      <c r="B6" s="139" t="s">
        <v>0</v>
      </c>
      <c r="C6" s="139" t="s">
        <v>31</v>
      </c>
      <c r="D6" s="139">
        <v>2023</v>
      </c>
      <c r="E6" s="140"/>
      <c r="F6" s="145"/>
      <c r="G6" s="151"/>
      <c r="H6" s="151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</row>
    <row r="7" spans="1:20" s="112" customFormat="1">
      <c r="A7" s="111"/>
      <c r="B7" s="289" t="s">
        <v>127</v>
      </c>
      <c r="C7" s="290"/>
      <c r="D7" s="290"/>
      <c r="E7" s="111"/>
      <c r="F7" s="146"/>
      <c r="G7" s="151"/>
      <c r="H7" s="15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</row>
    <row r="8" spans="1:20" s="142" customFormat="1">
      <c r="A8" s="111"/>
      <c r="B8" s="291"/>
      <c r="C8" s="292"/>
      <c r="D8" s="292"/>
      <c r="E8" s="111"/>
      <c r="F8" s="146"/>
      <c r="G8" s="151"/>
      <c r="H8" s="15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0" s="142" customFormat="1">
      <c r="A9" s="111"/>
      <c r="B9" s="118" t="s">
        <v>120</v>
      </c>
      <c r="C9" s="118" t="s">
        <v>2</v>
      </c>
      <c r="D9" s="118" t="s">
        <v>2</v>
      </c>
      <c r="E9" s="111"/>
      <c r="F9" s="146"/>
      <c r="G9" s="151"/>
      <c r="H9" s="15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>
      <c r="A10" s="106"/>
      <c r="B10" s="136" t="s">
        <v>3</v>
      </c>
      <c r="C10" s="138">
        <f>596496.7+8359.7</f>
        <v>604856.39999999991</v>
      </c>
      <c r="D10" s="138">
        <f>C10</f>
        <v>604856.39999999991</v>
      </c>
      <c r="E10" s="106"/>
      <c r="F10" s="147"/>
      <c r="G10" s="152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</row>
    <row r="11" spans="1:20">
      <c r="A11" s="106"/>
      <c r="B11" s="114" t="s">
        <v>4</v>
      </c>
      <c r="C11" s="135">
        <v>364738.73</v>
      </c>
      <c r="D11" s="138">
        <f t="shared" ref="D11:D19" si="0">C11</f>
        <v>364738.73</v>
      </c>
      <c r="E11" s="106"/>
      <c r="F11" s="147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</row>
    <row r="12" spans="1:20">
      <c r="A12" s="106"/>
      <c r="B12" s="194" t="s">
        <v>5</v>
      </c>
      <c r="C12" s="115">
        <v>263303.75</v>
      </c>
      <c r="D12" s="138">
        <f t="shared" si="0"/>
        <v>263303.75</v>
      </c>
      <c r="E12" s="106"/>
      <c r="F12" s="147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</row>
    <row r="13" spans="1:20">
      <c r="A13" s="106"/>
      <c r="B13" s="114" t="s">
        <v>6</v>
      </c>
      <c r="C13" s="115">
        <f>632576.86-25105.62</f>
        <v>607471.24</v>
      </c>
      <c r="D13" s="138">
        <f t="shared" si="0"/>
        <v>607471.24</v>
      </c>
      <c r="F13" s="147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</row>
    <row r="14" spans="1:20">
      <c r="A14" s="106"/>
      <c r="B14" s="114" t="s">
        <v>227</v>
      </c>
      <c r="C14" s="189">
        <v>57745.31</v>
      </c>
      <c r="D14" s="138">
        <f t="shared" si="0"/>
        <v>57745.31</v>
      </c>
      <c r="E14" s="106"/>
      <c r="F14" s="147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</row>
    <row r="15" spans="1:20">
      <c r="A15" s="106"/>
      <c r="B15" s="114" t="s">
        <v>223</v>
      </c>
      <c r="C15" s="189">
        <v>13251.74</v>
      </c>
      <c r="D15" s="138">
        <f t="shared" si="0"/>
        <v>13251.74</v>
      </c>
      <c r="E15" s="106"/>
      <c r="F15" s="147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</row>
    <row r="16" spans="1:20">
      <c r="A16" s="106"/>
      <c r="B16" s="114" t="s">
        <v>224</v>
      </c>
      <c r="C16" s="189">
        <v>5524.7</v>
      </c>
      <c r="D16" s="138">
        <f t="shared" si="0"/>
        <v>5524.7</v>
      </c>
      <c r="E16" s="106"/>
      <c r="F16" s="147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</row>
    <row r="17" spans="1:20">
      <c r="A17" s="106"/>
      <c r="B17" s="114" t="s">
        <v>225</v>
      </c>
      <c r="C17" s="189">
        <v>18926.32</v>
      </c>
      <c r="D17" s="138">
        <f t="shared" si="0"/>
        <v>18926.32</v>
      </c>
      <c r="E17" s="106"/>
      <c r="F17" s="147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1:20">
      <c r="A18" s="106"/>
      <c r="B18" s="114" t="s">
        <v>7</v>
      </c>
      <c r="C18" s="189">
        <v>313284.2</v>
      </c>
      <c r="D18" s="138">
        <f t="shared" si="0"/>
        <v>313284.2</v>
      </c>
      <c r="E18" s="106"/>
      <c r="F18" s="147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1:20">
      <c r="A19" s="106"/>
      <c r="B19" s="114" t="s">
        <v>149</v>
      </c>
      <c r="C19" s="189">
        <v>0</v>
      </c>
      <c r="D19" s="138">
        <f t="shared" si="0"/>
        <v>0</v>
      </c>
      <c r="E19" s="106"/>
      <c r="F19" s="147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  <row r="20" spans="1:20" s="112" customFormat="1">
      <c r="A20" s="111"/>
      <c r="B20" s="116" t="s">
        <v>9</v>
      </c>
      <c r="C20" s="117">
        <f>SUM(C10:C19)</f>
        <v>2249102.39</v>
      </c>
      <c r="D20" s="117">
        <f>SUM(D10:D19)</f>
        <v>2249102.39</v>
      </c>
      <c r="E20" s="111"/>
      <c r="F20" s="146"/>
      <c r="G20" s="151"/>
      <c r="H20" s="15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</row>
    <row r="21" spans="1:20">
      <c r="A21" s="106"/>
      <c r="B21" s="106"/>
      <c r="C21" s="109"/>
      <c r="D21" s="109"/>
      <c r="E21" s="106"/>
      <c r="F21" s="147" t="s">
        <v>118</v>
      </c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0" s="112" customFormat="1">
      <c r="A22" s="111"/>
      <c r="B22" s="289" t="s">
        <v>128</v>
      </c>
      <c r="C22" s="290"/>
      <c r="D22" s="290"/>
      <c r="E22" s="111"/>
      <c r="F22" s="146"/>
      <c r="G22" s="151"/>
      <c r="H22" s="15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</row>
    <row r="23" spans="1:20">
      <c r="A23" s="106"/>
      <c r="B23" s="291"/>
      <c r="C23" s="292"/>
      <c r="D23" s="292"/>
      <c r="E23" s="106"/>
      <c r="F23" s="147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</row>
    <row r="24" spans="1:20">
      <c r="A24" s="106"/>
      <c r="B24" s="118" t="s">
        <v>121</v>
      </c>
      <c r="C24" s="118" t="s">
        <v>2</v>
      </c>
      <c r="D24" s="118" t="s">
        <v>2</v>
      </c>
      <c r="E24" s="106"/>
      <c r="F24" s="147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</row>
    <row r="25" spans="1:20">
      <c r="A25" s="106"/>
      <c r="B25" s="114" t="s">
        <v>199</v>
      </c>
      <c r="C25" s="115">
        <v>628352.19999999995</v>
      </c>
      <c r="D25" s="115">
        <f>C25</f>
        <v>628352.19999999995</v>
      </c>
      <c r="E25" s="106"/>
      <c r="F25" s="147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</row>
    <row r="26" spans="1:20">
      <c r="A26" s="106"/>
      <c r="B26" s="114" t="s">
        <v>228</v>
      </c>
      <c r="C26" s="115">
        <v>72215.28</v>
      </c>
      <c r="D26" s="115">
        <f t="shared" ref="D26:D29" si="1">C26</f>
        <v>72215.28</v>
      </c>
      <c r="E26" s="106"/>
      <c r="F26" s="147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</row>
    <row r="27" spans="1:20">
      <c r="A27" s="106"/>
      <c r="B27" s="114" t="s">
        <v>171</v>
      </c>
      <c r="C27" s="119">
        <v>31403.3</v>
      </c>
      <c r="D27" s="115">
        <f t="shared" si="1"/>
        <v>31403.3</v>
      </c>
      <c r="E27" s="106"/>
      <c r="F27" s="147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</row>
    <row r="28" spans="1:20">
      <c r="A28" s="106"/>
      <c r="B28" s="114" t="s">
        <v>13</v>
      </c>
      <c r="C28" s="115">
        <v>1683.17</v>
      </c>
      <c r="D28" s="115">
        <f t="shared" si="1"/>
        <v>1683.17</v>
      </c>
      <c r="E28" s="106"/>
      <c r="F28" s="147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</row>
    <row r="29" spans="1:20">
      <c r="A29" s="106"/>
      <c r="B29" s="114" t="s">
        <v>130</v>
      </c>
      <c r="C29" s="119">
        <f>30236.81-7394.6</f>
        <v>22842.21</v>
      </c>
      <c r="D29" s="115">
        <f t="shared" si="1"/>
        <v>22842.21</v>
      </c>
      <c r="E29" s="106"/>
      <c r="F29" s="147"/>
      <c r="G29" s="152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</row>
    <row r="30" spans="1:20" s="112" customFormat="1">
      <c r="A30" s="111"/>
      <c r="B30" s="120" t="s">
        <v>84</v>
      </c>
      <c r="C30" s="121">
        <f>SUM(C25:C29)</f>
        <v>756496.16</v>
      </c>
      <c r="D30" s="121">
        <f>SUM(D25:D29)</f>
        <v>756496.16</v>
      </c>
      <c r="E30" s="111"/>
      <c r="F30" s="146"/>
      <c r="G30" s="151"/>
      <c r="H30" s="15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</row>
    <row r="31" spans="1:20" s="112" customFormat="1">
      <c r="A31" s="111"/>
      <c r="B31" s="123" t="s">
        <v>14</v>
      </c>
      <c r="C31" s="124">
        <f>C20-C30</f>
        <v>1492606.23</v>
      </c>
      <c r="D31" s="124">
        <f>D20-D30</f>
        <v>1492606.23</v>
      </c>
      <c r="E31" s="111"/>
      <c r="F31" s="146"/>
      <c r="G31" s="151"/>
      <c r="H31" s="15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</row>
    <row r="32" spans="1:20">
      <c r="A32" s="106"/>
      <c r="B32" s="106"/>
      <c r="C32" s="109"/>
      <c r="D32" s="109"/>
      <c r="E32" s="106"/>
      <c r="F32" s="147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</row>
    <row r="33" spans="1:20" s="112" customFormat="1">
      <c r="A33" s="111"/>
      <c r="B33" s="295" t="s">
        <v>15</v>
      </c>
      <c r="C33" s="296"/>
      <c r="D33" s="296"/>
      <c r="E33" s="111"/>
      <c r="F33" s="146"/>
      <c r="G33" s="151"/>
      <c r="H33" s="15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</row>
    <row r="34" spans="1:20" s="112" customFormat="1">
      <c r="A34" s="111"/>
      <c r="B34" s="289" t="s">
        <v>16</v>
      </c>
      <c r="C34" s="290"/>
      <c r="D34" s="290"/>
      <c r="E34" s="111"/>
      <c r="F34" s="146"/>
      <c r="G34" s="151"/>
      <c r="H34" s="15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</row>
    <row r="35" spans="1:20">
      <c r="A35" s="106"/>
      <c r="B35" s="291"/>
      <c r="C35" s="292"/>
      <c r="D35" s="292"/>
      <c r="E35" s="106"/>
      <c r="F35" s="147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</row>
    <row r="36" spans="1:20">
      <c r="A36" s="106"/>
      <c r="B36" s="127" t="s">
        <v>17</v>
      </c>
      <c r="C36" s="299" t="s">
        <v>2</v>
      </c>
      <c r="D36" s="300"/>
      <c r="E36" s="106"/>
      <c r="F36" s="147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</row>
    <row r="37" spans="1:20">
      <c r="A37" s="106"/>
      <c r="B37" s="114" t="s">
        <v>18</v>
      </c>
      <c r="C37" s="313">
        <v>0</v>
      </c>
      <c r="D37" s="314"/>
      <c r="E37" s="106"/>
      <c r="F37" s="147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</row>
    <row r="38" spans="1:20">
      <c r="A38" s="106"/>
      <c r="B38" s="114" t="s">
        <v>19</v>
      </c>
      <c r="C38" s="313">
        <v>0</v>
      </c>
      <c r="D38" s="314"/>
      <c r="E38" s="106"/>
      <c r="F38" s="147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</row>
    <row r="39" spans="1:20">
      <c r="A39" s="106"/>
      <c r="B39" s="114" t="s">
        <v>231</v>
      </c>
      <c r="C39" s="313">
        <v>0</v>
      </c>
      <c r="D39" s="314"/>
      <c r="E39" s="106"/>
      <c r="F39" s="147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</row>
    <row r="40" spans="1:20">
      <c r="A40" s="106"/>
      <c r="B40" s="114" t="s">
        <v>230</v>
      </c>
      <c r="C40" s="313">
        <v>0</v>
      </c>
      <c r="D40" s="314"/>
      <c r="E40" s="106"/>
      <c r="F40" s="147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</row>
    <row r="41" spans="1:20">
      <c r="A41" s="106"/>
      <c r="B41" s="114" t="s">
        <v>229</v>
      </c>
      <c r="C41" s="313">
        <v>0</v>
      </c>
      <c r="D41" s="314"/>
      <c r="E41" s="106"/>
      <c r="F41" s="147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</row>
    <row r="42" spans="1:20">
      <c r="A42" s="106"/>
      <c r="B42" s="114" t="s">
        <v>20</v>
      </c>
      <c r="C42" s="313">
        <v>95491.5</v>
      </c>
      <c r="D42" s="314"/>
      <c r="E42" s="106"/>
      <c r="F42" s="147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</row>
    <row r="43" spans="1:20">
      <c r="A43" s="106"/>
      <c r="B43" s="114" t="s">
        <v>21</v>
      </c>
      <c r="C43" s="313">
        <v>19326.66</v>
      </c>
      <c r="D43" s="314"/>
      <c r="E43" s="106"/>
      <c r="F43" s="147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</row>
    <row r="44" spans="1:20">
      <c r="A44" s="106"/>
      <c r="B44" s="114" t="s">
        <v>22</v>
      </c>
      <c r="C44" s="313">
        <v>439.81</v>
      </c>
      <c r="D44" s="314"/>
      <c r="E44" s="106"/>
      <c r="F44" s="147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</row>
    <row r="45" spans="1:20">
      <c r="A45" s="106"/>
      <c r="B45" s="118" t="s">
        <v>23</v>
      </c>
      <c r="C45" s="317">
        <f>SUM(C37:C44)</f>
        <v>115257.97</v>
      </c>
      <c r="D45" s="318"/>
      <c r="E45" s="106"/>
      <c r="F45" s="147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</row>
    <row r="46" spans="1:20">
      <c r="A46" s="106"/>
      <c r="B46" s="106"/>
      <c r="C46" s="150"/>
      <c r="D46" s="150"/>
      <c r="E46" s="106"/>
      <c r="F46" s="147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</row>
    <row r="47" spans="1:20">
      <c r="A47" s="106"/>
      <c r="B47" s="118" t="s">
        <v>24</v>
      </c>
      <c r="C47" s="297" t="s">
        <v>2</v>
      </c>
      <c r="D47" s="298"/>
      <c r="E47" s="106"/>
      <c r="F47" s="147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</row>
    <row r="48" spans="1:20">
      <c r="A48" s="106"/>
      <c r="B48" s="114" t="s">
        <v>25</v>
      </c>
      <c r="C48" s="313">
        <v>28985289.43</v>
      </c>
      <c r="D48" s="314"/>
      <c r="F48" s="193"/>
    </row>
    <row r="49" spans="2:6">
      <c r="B49" s="114" t="s">
        <v>26</v>
      </c>
      <c r="C49" s="313">
        <f>6586406.43+906999.54+1518196.89+65186.49+910506.71+453729.11</f>
        <v>10441025.169999998</v>
      </c>
      <c r="D49" s="314"/>
    </row>
    <row r="50" spans="2:6">
      <c r="B50" s="114" t="s">
        <v>200</v>
      </c>
      <c r="C50" s="313">
        <v>10377828.01</v>
      </c>
      <c r="D50" s="314"/>
    </row>
    <row r="51" spans="2:6">
      <c r="B51" s="114" t="s">
        <v>206</v>
      </c>
      <c r="C51" s="313">
        <v>10041033.1</v>
      </c>
      <c r="D51" s="314"/>
    </row>
    <row r="52" spans="2:6">
      <c r="B52" s="114" t="s">
        <v>131</v>
      </c>
      <c r="C52" s="313">
        <v>248626.38</v>
      </c>
      <c r="D52" s="314"/>
    </row>
    <row r="53" spans="2:6">
      <c r="B53" s="118" t="s">
        <v>28</v>
      </c>
      <c r="C53" s="303">
        <f>SUM(C48:D52)</f>
        <v>60093802.089999996</v>
      </c>
      <c r="D53" s="304"/>
    </row>
    <row r="54" spans="2:6">
      <c r="B54" s="131"/>
      <c r="C54" s="132"/>
      <c r="D54" s="132"/>
    </row>
    <row r="55" spans="2:6">
      <c r="B55" s="125" t="s">
        <v>29</v>
      </c>
      <c r="C55" s="315">
        <f>C53+C45</f>
        <v>60209060.059999995</v>
      </c>
      <c r="D55" s="316"/>
    </row>
    <row r="56" spans="2:6" ht="16.5" thickBot="1">
      <c r="B56" s="106"/>
      <c r="C56" s="109"/>
      <c r="D56" s="109"/>
      <c r="F56" s="192"/>
    </row>
    <row r="57" spans="2:6" ht="16.5" thickBot="1">
      <c r="B57" s="195" t="s">
        <v>226</v>
      </c>
      <c r="C57" s="196"/>
      <c r="D57" s="197"/>
      <c r="F57" s="192"/>
    </row>
    <row r="58" spans="2:6">
      <c r="B58" s="106"/>
      <c r="C58" s="109"/>
      <c r="D58" s="109"/>
      <c r="F58" s="192"/>
    </row>
    <row r="59" spans="2:6">
      <c r="B59" s="106"/>
      <c r="C59" s="109"/>
      <c r="D59" s="109"/>
      <c r="F59" s="192"/>
    </row>
    <row r="60" spans="2:6">
      <c r="B60" s="106"/>
      <c r="C60" s="109"/>
      <c r="D60" s="109"/>
      <c r="F60" s="192"/>
    </row>
    <row r="61" spans="2:6">
      <c r="B61" s="106"/>
      <c r="C61" s="106"/>
      <c r="F61" s="192"/>
    </row>
    <row r="62" spans="2:6">
      <c r="B62" s="106"/>
      <c r="C62" s="106"/>
      <c r="F62" s="192"/>
    </row>
    <row r="63" spans="2:6">
      <c r="B63" s="284"/>
      <c r="C63" s="284"/>
      <c r="F63" s="192"/>
    </row>
    <row r="64" spans="2:6" ht="15.75" customHeight="1">
      <c r="F64" s="192"/>
    </row>
    <row r="65" spans="6:6" ht="15.75" customHeight="1">
      <c r="F65" s="192"/>
    </row>
    <row r="66" spans="6:6" ht="15.75" customHeight="1">
      <c r="F66" s="192"/>
    </row>
    <row r="67" spans="6:6" ht="15.75" customHeight="1">
      <c r="F67" s="192"/>
    </row>
  </sheetData>
  <mergeCells count="23">
    <mergeCell ref="C55:D55"/>
    <mergeCell ref="B63:C63"/>
    <mergeCell ref="C40:D40"/>
    <mergeCell ref="C41:D41"/>
    <mergeCell ref="C50:D50"/>
    <mergeCell ref="C47:D47"/>
    <mergeCell ref="C48:D48"/>
    <mergeCell ref="C49:D49"/>
    <mergeCell ref="C51:D51"/>
    <mergeCell ref="C52:D52"/>
    <mergeCell ref="C53:D53"/>
    <mergeCell ref="C45:D45"/>
    <mergeCell ref="C38:D38"/>
    <mergeCell ref="C39:D39"/>
    <mergeCell ref="C42:D42"/>
    <mergeCell ref="C43:D43"/>
    <mergeCell ref="C44:D44"/>
    <mergeCell ref="C37:D37"/>
    <mergeCell ref="B7:D8"/>
    <mergeCell ref="B22:D23"/>
    <mergeCell ref="B33:D33"/>
    <mergeCell ref="B34:D35"/>
    <mergeCell ref="C36:D36"/>
  </mergeCells>
  <pageMargins left="0.511811024" right="0.511811024" top="0.78740157499999996" bottom="0.78740157499999996" header="0.31496062000000002" footer="0.31496062000000002"/>
  <pageSetup paperSize="9" scale="32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69"/>
  <sheetViews>
    <sheetView tabSelected="1" zoomScaleSheetLayoutView="100" workbookViewId="0">
      <selection activeCell="K13" sqref="K13"/>
    </sheetView>
  </sheetViews>
  <sheetFormatPr defaultRowHeight="15.75"/>
  <cols>
    <col min="1" max="1" width="63.42578125" style="210" customWidth="1"/>
    <col min="2" max="8" width="18.28515625" style="210" customWidth="1"/>
    <col min="9" max="10" width="18.28515625" style="217" customWidth="1"/>
    <col min="11" max="11" width="9.140625" style="217"/>
    <col min="12" max="12" width="15.7109375" style="217" bestFit="1" customWidth="1"/>
    <col min="13" max="13" width="9.140625" style="210"/>
    <col min="14" max="14" width="19.42578125" style="251" customWidth="1"/>
    <col min="15" max="16384" width="9.140625" style="210"/>
  </cols>
  <sheetData>
    <row r="1" spans="1:11" ht="18">
      <c r="A1" s="333" t="s">
        <v>242</v>
      </c>
      <c r="B1" s="333"/>
      <c r="C1" s="333"/>
      <c r="D1" s="333"/>
      <c r="E1" s="333"/>
      <c r="F1" s="333"/>
      <c r="G1" s="333"/>
      <c r="H1" s="333"/>
      <c r="I1" s="333"/>
      <c r="J1" s="333"/>
    </row>
    <row r="2" spans="1:11" ht="9.75" customHeight="1">
      <c r="A2" s="253"/>
      <c r="B2" s="253"/>
      <c r="C2" s="253"/>
      <c r="D2" s="253"/>
      <c r="E2" s="253"/>
      <c r="F2" s="253"/>
      <c r="G2" s="253"/>
      <c r="H2" s="253"/>
      <c r="I2" s="253"/>
      <c r="J2" s="253"/>
      <c r="K2" s="254"/>
    </row>
    <row r="3" spans="1:11" ht="18">
      <c r="A3" s="333" t="s">
        <v>252</v>
      </c>
      <c r="B3" s="333"/>
      <c r="C3" s="333"/>
      <c r="D3" s="333"/>
      <c r="E3" s="333"/>
      <c r="F3" s="333"/>
      <c r="G3" s="333"/>
      <c r="H3" s="333"/>
      <c r="I3" s="333"/>
      <c r="J3" s="333"/>
    </row>
    <row r="5" spans="1:11">
      <c r="A5" s="212" t="s">
        <v>0</v>
      </c>
      <c r="B5" s="252" t="s">
        <v>85</v>
      </c>
      <c r="C5" s="252" t="s">
        <v>77</v>
      </c>
      <c r="D5" s="252" t="s">
        <v>69</v>
      </c>
      <c r="E5" s="252" t="s">
        <v>61</v>
      </c>
      <c r="F5" s="252" t="s">
        <v>53</v>
      </c>
      <c r="G5" s="252" t="s">
        <v>44</v>
      </c>
      <c r="H5" s="252" t="s">
        <v>151</v>
      </c>
      <c r="I5" s="235" t="s">
        <v>31</v>
      </c>
      <c r="J5" s="236" t="s">
        <v>240</v>
      </c>
    </row>
    <row r="6" spans="1:11">
      <c r="A6" s="321" t="s">
        <v>127</v>
      </c>
      <c r="B6" s="321"/>
      <c r="C6" s="321"/>
      <c r="D6" s="321"/>
      <c r="E6" s="321"/>
      <c r="F6" s="321"/>
      <c r="G6" s="321"/>
      <c r="H6" s="321"/>
      <c r="I6" s="321"/>
      <c r="J6" s="321"/>
    </row>
    <row r="7" spans="1:11">
      <c r="A7" s="321"/>
      <c r="B7" s="321"/>
      <c r="C7" s="321"/>
      <c r="D7" s="321"/>
      <c r="E7" s="321"/>
      <c r="F7" s="321"/>
      <c r="G7" s="321"/>
      <c r="H7" s="321"/>
      <c r="I7" s="321"/>
      <c r="J7" s="321"/>
    </row>
    <row r="8" spans="1:11">
      <c r="A8" s="213" t="s">
        <v>120</v>
      </c>
      <c r="B8" s="245" t="s">
        <v>2</v>
      </c>
      <c r="C8" s="245" t="s">
        <v>2</v>
      </c>
      <c r="D8" s="245" t="s">
        <v>2</v>
      </c>
      <c r="E8" s="245" t="s">
        <v>2</v>
      </c>
      <c r="F8" s="245" t="s">
        <v>2</v>
      </c>
      <c r="G8" s="245" t="s">
        <v>2</v>
      </c>
      <c r="H8" s="245" t="s">
        <v>2</v>
      </c>
      <c r="I8" s="218" t="s">
        <v>2</v>
      </c>
      <c r="J8" s="218" t="s">
        <v>2</v>
      </c>
    </row>
    <row r="9" spans="1:11">
      <c r="A9" s="198" t="s">
        <v>3</v>
      </c>
      <c r="B9" s="246">
        <f>845248.13+16524.62</f>
        <v>861772.75</v>
      </c>
      <c r="C9" s="246">
        <f>825521.98+16524.62</f>
        <v>842046.6</v>
      </c>
      <c r="D9" s="246">
        <f>831661.77+16443.27</f>
        <v>848105.04</v>
      </c>
      <c r="E9" s="246">
        <f>906469.45+15798.07</f>
        <v>922267.5199999999</v>
      </c>
      <c r="F9" s="246">
        <f>838101.53+23659.85</f>
        <v>861761.38</v>
      </c>
      <c r="G9" s="246">
        <f>801485.62+12298.38</f>
        <v>813784</v>
      </c>
      <c r="H9" s="246">
        <f>1321122.03+12236.95</f>
        <v>1333358.98</v>
      </c>
      <c r="I9" s="242">
        <f>202175.79+14413.69</f>
        <v>216589.48</v>
      </c>
      <c r="J9" s="214">
        <f>SUM(B9:I9)</f>
        <v>6699685.75</v>
      </c>
    </row>
    <row r="10" spans="1:11">
      <c r="A10" s="198" t="s">
        <v>4</v>
      </c>
      <c r="B10" s="246">
        <v>537886.63</v>
      </c>
      <c r="C10" s="246">
        <f>525331.49+10515.67</f>
        <v>535847.16</v>
      </c>
      <c r="D10" s="246">
        <f>539704.12</f>
        <v>539704.12</v>
      </c>
      <c r="E10" s="246">
        <v>576844</v>
      </c>
      <c r="F10" s="246">
        <v>558447.67000000004</v>
      </c>
      <c r="G10" s="246">
        <v>517862.81</v>
      </c>
      <c r="H10" s="246">
        <v>840714.17</v>
      </c>
      <c r="I10" s="243">
        <v>136444.49</v>
      </c>
      <c r="J10" s="214">
        <f t="shared" ref="J10:J19" si="0">SUM(B10:I10)</f>
        <v>4243751.05</v>
      </c>
    </row>
    <row r="11" spans="1:11">
      <c r="A11" s="198" t="s">
        <v>135</v>
      </c>
      <c r="B11" s="246">
        <v>656630.09</v>
      </c>
      <c r="C11" s="246">
        <v>656630.09</v>
      </c>
      <c r="D11" s="246">
        <v>656630.09</v>
      </c>
      <c r="E11" s="246">
        <v>520893.27</v>
      </c>
      <c r="F11" s="246">
        <v>520893.27</v>
      </c>
      <c r="G11" s="246">
        <v>520893.27</v>
      </c>
      <c r="H11" s="246">
        <v>1058450.79</v>
      </c>
      <c r="I11" s="244">
        <v>520893.27</v>
      </c>
      <c r="J11" s="214">
        <f t="shared" si="0"/>
        <v>5111914.1400000006</v>
      </c>
    </row>
    <row r="12" spans="1:11">
      <c r="A12" s="198" t="s">
        <v>6</v>
      </c>
      <c r="B12" s="246">
        <v>458938.39</v>
      </c>
      <c r="C12" s="246">
        <v>9089.81</v>
      </c>
      <c r="D12" s="246">
        <v>7397.02</v>
      </c>
      <c r="E12" s="246">
        <v>479946.5</v>
      </c>
      <c r="F12" s="246">
        <v>7239.34</v>
      </c>
      <c r="G12" s="246">
        <v>20321.8</v>
      </c>
      <c r="H12" s="246">
        <v>7648.13</v>
      </c>
      <c r="I12" s="244">
        <v>11762.36</v>
      </c>
      <c r="J12" s="214">
        <f t="shared" si="0"/>
        <v>1002343.35</v>
      </c>
    </row>
    <row r="13" spans="1:11">
      <c r="A13" s="198" t="s">
        <v>253</v>
      </c>
      <c r="B13" s="246">
        <v>61926.41</v>
      </c>
      <c r="C13" s="246">
        <v>61771.98</v>
      </c>
      <c r="D13" s="246">
        <v>61489.13</v>
      </c>
      <c r="E13" s="246">
        <v>61262.46</v>
      </c>
      <c r="F13" s="246">
        <v>61146.29</v>
      </c>
      <c r="G13" s="246">
        <v>60654.98</v>
      </c>
      <c r="H13" s="246">
        <v>120292.52</v>
      </c>
      <c r="I13" s="226">
        <v>0</v>
      </c>
      <c r="J13" s="214">
        <f t="shared" si="0"/>
        <v>488543.77</v>
      </c>
    </row>
    <row r="14" spans="1:11">
      <c r="A14" s="198" t="s">
        <v>254</v>
      </c>
      <c r="B14" s="246">
        <v>15512.98</v>
      </c>
      <c r="C14" s="246">
        <v>15396.9</v>
      </c>
      <c r="D14" s="246">
        <v>15250.63</v>
      </c>
      <c r="E14" s="246">
        <v>15119.7</v>
      </c>
      <c r="F14" s="246">
        <v>15015.09</v>
      </c>
      <c r="G14" s="246">
        <v>14821.93</v>
      </c>
      <c r="H14" s="246">
        <f>14510.9+14662.5</f>
        <v>29173.4</v>
      </c>
      <c r="I14" s="226">
        <v>0</v>
      </c>
      <c r="J14" s="214">
        <f t="shared" si="0"/>
        <v>120290.62999999998</v>
      </c>
    </row>
    <row r="15" spans="1:11">
      <c r="A15" s="198" t="s">
        <v>243</v>
      </c>
      <c r="B15" s="246">
        <v>0</v>
      </c>
      <c r="C15" s="246">
        <v>0</v>
      </c>
      <c r="D15" s="270" t="s">
        <v>248</v>
      </c>
      <c r="E15" s="246">
        <v>0</v>
      </c>
      <c r="F15" s="246">
        <v>0</v>
      </c>
      <c r="G15" s="246">
        <v>6179.31</v>
      </c>
      <c r="H15" s="246">
        <f>6049.65+6112.85</f>
        <v>12162.5</v>
      </c>
      <c r="I15" s="226">
        <v>0</v>
      </c>
      <c r="J15" s="214">
        <f t="shared" si="0"/>
        <v>18341.810000000001</v>
      </c>
    </row>
    <row r="16" spans="1:11">
      <c r="A16" s="198" t="s">
        <v>255</v>
      </c>
      <c r="B16" s="246">
        <v>22157.200000000001</v>
      </c>
      <c r="C16" s="246">
        <v>21991.439999999999</v>
      </c>
      <c r="D16" s="246">
        <v>21781.61</v>
      </c>
      <c r="E16" s="246">
        <v>21594.11</v>
      </c>
      <c r="F16" s="246">
        <v>21446.28</v>
      </c>
      <c r="G16" s="246">
        <v>21168.74</v>
      </c>
      <c r="H16" s="246">
        <v>41666.879999999997</v>
      </c>
      <c r="I16" s="226">
        <v>0</v>
      </c>
      <c r="J16" s="214">
        <f t="shared" si="0"/>
        <v>171806.26</v>
      </c>
    </row>
    <row r="17" spans="1:14">
      <c r="A17" s="198" t="s">
        <v>7</v>
      </c>
      <c r="B17" s="246">
        <v>426.79</v>
      </c>
      <c r="C17" s="246">
        <v>13520.64</v>
      </c>
      <c r="D17" s="246">
        <v>14185.9</v>
      </c>
      <c r="E17" s="246">
        <v>20977.72</v>
      </c>
      <c r="F17" s="246">
        <v>14550.07</v>
      </c>
      <c r="G17" s="246">
        <v>14808.88</v>
      </c>
      <c r="H17" s="246">
        <v>14288.56</v>
      </c>
      <c r="I17" s="226">
        <v>14279.31</v>
      </c>
      <c r="J17" s="214">
        <f t="shared" si="0"/>
        <v>107037.87</v>
      </c>
    </row>
    <row r="18" spans="1:14">
      <c r="A18" s="198" t="s">
        <v>251</v>
      </c>
      <c r="B18" s="246">
        <v>0</v>
      </c>
      <c r="C18" s="246">
        <v>9805.5400000000009</v>
      </c>
      <c r="D18" s="246">
        <v>12068.5</v>
      </c>
      <c r="E18" s="246">
        <v>19354.93</v>
      </c>
      <c r="F18" s="246">
        <v>10279.93</v>
      </c>
      <c r="G18" s="246">
        <v>0</v>
      </c>
      <c r="H18" s="246">
        <v>14385.74</v>
      </c>
      <c r="I18" s="226">
        <v>43352.59</v>
      </c>
      <c r="J18" s="214">
        <f t="shared" si="0"/>
        <v>109247.23</v>
      </c>
    </row>
    <row r="19" spans="1:14">
      <c r="A19" s="198" t="s">
        <v>149</v>
      </c>
      <c r="B19" s="246">
        <v>1842.56</v>
      </c>
      <c r="C19" s="246">
        <v>1462.7</v>
      </c>
      <c r="D19" s="246">
        <v>1168.1199999999999</v>
      </c>
      <c r="E19" s="246">
        <v>1168.1199999999999</v>
      </c>
      <c r="F19" s="246">
        <v>1168.1199999999999</v>
      </c>
      <c r="G19" s="246">
        <v>1168.1199999999999</v>
      </c>
      <c r="H19" s="246">
        <v>1168.1199999999999</v>
      </c>
      <c r="I19" s="226">
        <v>1168.1199999999999</v>
      </c>
      <c r="J19" s="214">
        <f t="shared" si="0"/>
        <v>10313.98</v>
      </c>
    </row>
    <row r="20" spans="1:14">
      <c r="A20" s="199" t="s">
        <v>9</v>
      </c>
      <c r="B20" s="271">
        <f>SUM(B9:B19)</f>
        <v>2617093.8000000003</v>
      </c>
      <c r="C20" s="257">
        <f>SUM(C9:C19)</f>
        <v>2167562.8600000003</v>
      </c>
      <c r="D20" s="257">
        <f t="shared" ref="D20:J20" si="1">SUM(D9:D19)</f>
        <v>2177780.1599999997</v>
      </c>
      <c r="E20" s="257">
        <f t="shared" si="1"/>
        <v>2639428.3300000005</v>
      </c>
      <c r="F20" s="257">
        <f t="shared" si="1"/>
        <v>2071947.4400000004</v>
      </c>
      <c r="G20" s="257">
        <f t="shared" si="1"/>
        <v>1991663.84</v>
      </c>
      <c r="H20" s="257">
        <f t="shared" si="1"/>
        <v>3473309.79</v>
      </c>
      <c r="I20" s="257">
        <f t="shared" si="1"/>
        <v>944489.62</v>
      </c>
      <c r="J20" s="257">
        <f t="shared" si="1"/>
        <v>18083275.840000004</v>
      </c>
    </row>
    <row r="21" spans="1:14">
      <c r="A21" s="200"/>
      <c r="B21" s="200"/>
      <c r="C21" s="200"/>
      <c r="D21" s="200"/>
      <c r="E21" s="200"/>
      <c r="F21" s="200"/>
      <c r="G21" s="200"/>
      <c r="H21" s="200"/>
      <c r="I21" s="219"/>
      <c r="J21" s="219"/>
    </row>
    <row r="22" spans="1:14">
      <c r="A22" s="322" t="s">
        <v>128</v>
      </c>
      <c r="B22" s="323"/>
      <c r="C22" s="323"/>
      <c r="D22" s="323"/>
      <c r="E22" s="323"/>
      <c r="F22" s="323"/>
      <c r="G22" s="323"/>
      <c r="H22" s="323"/>
      <c r="I22" s="323"/>
      <c r="J22" s="323"/>
    </row>
    <row r="23" spans="1:14">
      <c r="A23" s="324"/>
      <c r="B23" s="325"/>
      <c r="C23" s="325"/>
      <c r="D23" s="325"/>
      <c r="E23" s="325"/>
      <c r="F23" s="325"/>
      <c r="G23" s="325"/>
      <c r="H23" s="325"/>
      <c r="I23" s="325"/>
      <c r="J23" s="325"/>
    </row>
    <row r="24" spans="1:14">
      <c r="A24" s="201" t="s">
        <v>121</v>
      </c>
      <c r="B24" s="245" t="s">
        <v>2</v>
      </c>
      <c r="C24" s="245" t="s">
        <v>2</v>
      </c>
      <c r="D24" s="245" t="s">
        <v>2</v>
      </c>
      <c r="E24" s="245" t="s">
        <v>2</v>
      </c>
      <c r="F24" s="245" t="s">
        <v>2</v>
      </c>
      <c r="G24" s="245" t="s">
        <v>2</v>
      </c>
      <c r="H24" s="220" t="s">
        <v>2</v>
      </c>
      <c r="I24" s="220" t="s">
        <v>2</v>
      </c>
      <c r="J24" s="220" t="s">
        <v>2</v>
      </c>
    </row>
    <row r="25" spans="1:14">
      <c r="A25" s="202" t="s">
        <v>256</v>
      </c>
      <c r="B25" s="247">
        <v>780241.98</v>
      </c>
      <c r="C25" s="247">
        <v>774875.47</v>
      </c>
      <c r="D25" s="247">
        <v>1160307.04</v>
      </c>
      <c r="E25" s="247">
        <v>773692.17</v>
      </c>
      <c r="F25" s="247">
        <v>761883.71</v>
      </c>
      <c r="G25" s="247">
        <v>822788.01</v>
      </c>
      <c r="H25" s="247">
        <v>728151.76</v>
      </c>
      <c r="I25" s="215">
        <v>725045.48</v>
      </c>
      <c r="J25" s="215">
        <f>SUM(B25:I25)</f>
        <v>6526985.6199999992</v>
      </c>
    </row>
    <row r="26" spans="1:14">
      <c r="A26" s="202" t="s">
        <v>249</v>
      </c>
      <c r="B26" s="247">
        <v>96061.51</v>
      </c>
      <c r="C26" s="247">
        <v>96061.51</v>
      </c>
      <c r="D26" s="247">
        <v>143733.82</v>
      </c>
      <c r="E26" s="247">
        <v>94677.78</v>
      </c>
      <c r="F26" s="247">
        <v>91490.44</v>
      </c>
      <c r="G26" s="247">
        <v>92298.48</v>
      </c>
      <c r="H26" s="247">
        <v>91248.54</v>
      </c>
      <c r="I26" s="215">
        <v>90824.320000000007</v>
      </c>
      <c r="J26" s="215">
        <f t="shared" ref="J26:J29" si="2">SUM(B26:I26)</f>
        <v>796396.40000000014</v>
      </c>
    </row>
    <row r="27" spans="1:14">
      <c r="A27" s="202" t="s">
        <v>171</v>
      </c>
      <c r="B27" s="248">
        <v>37849.93</v>
      </c>
      <c r="C27" s="248">
        <v>39033.300000000003</v>
      </c>
      <c r="D27" s="248">
        <v>53348.05</v>
      </c>
      <c r="E27" s="248">
        <v>44818.18</v>
      </c>
      <c r="F27" s="248">
        <v>35565.339999999997</v>
      </c>
      <c r="G27" s="248">
        <v>37356.46</v>
      </c>
      <c r="H27" s="248">
        <v>38862.76</v>
      </c>
      <c r="I27" s="216">
        <f>34065.33+22761.78</f>
        <v>56827.11</v>
      </c>
      <c r="J27" s="215">
        <f t="shared" si="2"/>
        <v>343661.13</v>
      </c>
    </row>
    <row r="28" spans="1:14">
      <c r="A28" s="202" t="s">
        <v>13</v>
      </c>
      <c r="B28" s="247">
        <v>278.66000000000003</v>
      </c>
      <c r="C28" s="247">
        <v>1849.04</v>
      </c>
      <c r="D28" s="247">
        <v>1849.04</v>
      </c>
      <c r="E28" s="247">
        <v>2472.88</v>
      </c>
      <c r="F28" s="247">
        <v>1849.04</v>
      </c>
      <c r="G28" s="247">
        <v>1849.04</v>
      </c>
      <c r="H28" s="247">
        <v>1782.94</v>
      </c>
      <c r="I28" s="215">
        <v>1782.94</v>
      </c>
      <c r="J28" s="215">
        <f t="shared" si="2"/>
        <v>13713.580000000002</v>
      </c>
    </row>
    <row r="29" spans="1:14">
      <c r="A29" s="202" t="s">
        <v>130</v>
      </c>
      <c r="B29" s="248">
        <f>987792.15-B25-B26-B27-B28</f>
        <v>73360.070000000036</v>
      </c>
      <c r="C29" s="248">
        <f>987970.91-C25-C26-C27-C28</f>
        <v>76151.590000000069</v>
      </c>
      <c r="D29" s="248">
        <f>1415894.85-D25-D26-D27-D28</f>
        <v>56656.900000000045</v>
      </c>
      <c r="E29" s="248">
        <f>967144.35-E25-E26-E27-E28</f>
        <v>51483.339999999938</v>
      </c>
      <c r="F29" s="248">
        <f>956112.8-F25-F26-F27-F28</f>
        <v>65324.270000000084</v>
      </c>
      <c r="G29" s="248">
        <f>1028616.02-G25-G26-G27-G28</f>
        <v>74324.030000000013</v>
      </c>
      <c r="H29" s="248">
        <f>893985.53-H25-H26-H27-H28</f>
        <v>33939.530000000021</v>
      </c>
      <c r="I29" s="216">
        <f>928119.78-I25-I26-I27-I28</f>
        <v>53639.930000000037</v>
      </c>
      <c r="J29" s="215">
        <f t="shared" si="2"/>
        <v>484879.66000000027</v>
      </c>
    </row>
    <row r="30" spans="1:14">
      <c r="A30" s="203" t="s">
        <v>84</v>
      </c>
      <c r="B30" s="255">
        <f>SUM(B25:B29)</f>
        <v>987792.15000000014</v>
      </c>
      <c r="C30" s="255">
        <f>SUM(C25:C29)</f>
        <v>987970.91000000015</v>
      </c>
      <c r="D30" s="255">
        <f>SUM(D25:D29)</f>
        <v>1415894.8500000003</v>
      </c>
      <c r="E30" s="255">
        <f t="shared" ref="E30:J30" si="3">SUM(E25:E29)</f>
        <v>967144.35000000009</v>
      </c>
      <c r="F30" s="255">
        <f t="shared" si="3"/>
        <v>956112.8</v>
      </c>
      <c r="G30" s="255">
        <f t="shared" si="3"/>
        <v>1028616.02</v>
      </c>
      <c r="H30" s="249">
        <f t="shared" si="3"/>
        <v>893985.53</v>
      </c>
      <c r="I30" s="222">
        <f t="shared" si="3"/>
        <v>928119.78</v>
      </c>
      <c r="J30" s="221">
        <f t="shared" si="3"/>
        <v>8165636.3899999997</v>
      </c>
    </row>
    <row r="31" spans="1:14">
      <c r="A31" s="204" t="s">
        <v>241</v>
      </c>
      <c r="B31" s="256">
        <f>B20-B30</f>
        <v>1629301.6500000001</v>
      </c>
      <c r="C31" s="256">
        <f>C20-C30</f>
        <v>1179591.9500000002</v>
      </c>
      <c r="D31" s="256">
        <f>D20-D30</f>
        <v>761885.30999999936</v>
      </c>
      <c r="E31" s="250">
        <f t="shared" ref="E31:I31" si="4">E20-E30</f>
        <v>1672283.9800000004</v>
      </c>
      <c r="F31" s="256">
        <f t="shared" si="4"/>
        <v>1115834.6400000004</v>
      </c>
      <c r="G31" s="250">
        <f t="shared" si="4"/>
        <v>963047.82000000007</v>
      </c>
      <c r="H31" s="250">
        <f t="shared" si="4"/>
        <v>2579324.2599999998</v>
      </c>
      <c r="I31" s="224">
        <f t="shared" si="4"/>
        <v>16369.839999999967</v>
      </c>
      <c r="J31" s="223">
        <f>J20-J30</f>
        <v>9917639.450000003</v>
      </c>
    </row>
    <row r="32" spans="1:14" s="264" customFormat="1">
      <c r="A32" s="258"/>
      <c r="B32" s="258"/>
      <c r="C32" s="258"/>
      <c r="D32" s="258"/>
      <c r="E32" s="259"/>
      <c r="F32" s="260"/>
      <c r="G32" s="259"/>
      <c r="H32" s="259"/>
      <c r="I32" s="261"/>
      <c r="J32" s="262"/>
      <c r="K32" s="263"/>
      <c r="L32" s="263"/>
      <c r="N32" s="265"/>
    </row>
    <row r="33" spans="1:10">
      <c r="A33" s="266"/>
      <c r="B33" s="269"/>
      <c r="C33" s="269"/>
      <c r="D33" s="269"/>
      <c r="E33" s="267"/>
      <c r="F33" s="267"/>
      <c r="G33" s="267"/>
      <c r="H33" s="267"/>
      <c r="I33" s="268"/>
      <c r="J33" s="268"/>
    </row>
    <row r="34" spans="1:10">
      <c r="A34" s="326" t="s">
        <v>15</v>
      </c>
      <c r="B34" s="327"/>
      <c r="C34" s="327"/>
      <c r="D34" s="327"/>
      <c r="E34" s="327"/>
      <c r="F34" s="327"/>
      <c r="G34" s="327"/>
      <c r="H34" s="327"/>
      <c r="I34" s="328"/>
      <c r="J34" s="328"/>
    </row>
    <row r="35" spans="1:10">
      <c r="A35" s="321" t="s">
        <v>16</v>
      </c>
      <c r="B35" s="321"/>
      <c r="C35" s="321"/>
      <c r="D35" s="321"/>
      <c r="E35" s="321"/>
      <c r="F35" s="321"/>
      <c r="G35" s="321"/>
      <c r="H35" s="321"/>
      <c r="I35" s="321"/>
      <c r="J35" s="321"/>
    </row>
    <row r="36" spans="1:10">
      <c r="A36" s="321"/>
      <c r="B36" s="321"/>
      <c r="C36" s="321"/>
      <c r="D36" s="321"/>
      <c r="E36" s="321"/>
      <c r="F36" s="321"/>
      <c r="G36" s="321"/>
      <c r="H36" s="321"/>
      <c r="I36" s="321"/>
      <c r="J36" s="321"/>
    </row>
    <row r="37" spans="1:10">
      <c r="A37" s="205" t="s">
        <v>17</v>
      </c>
      <c r="B37" s="239"/>
      <c r="C37" s="239"/>
      <c r="D37" s="239"/>
      <c r="E37" s="239"/>
      <c r="F37" s="239"/>
      <c r="G37" s="239"/>
      <c r="H37" s="239"/>
      <c r="I37" s="225"/>
      <c r="J37" s="238" t="s">
        <v>2</v>
      </c>
    </row>
    <row r="38" spans="1:10">
      <c r="A38" s="329" t="s">
        <v>18</v>
      </c>
      <c r="B38" s="330"/>
      <c r="C38" s="330"/>
      <c r="D38" s="330"/>
      <c r="E38" s="330"/>
      <c r="F38" s="330"/>
      <c r="G38" s="330"/>
      <c r="H38" s="330"/>
      <c r="I38" s="330"/>
      <c r="J38" s="227">
        <v>0</v>
      </c>
    </row>
    <row r="39" spans="1:10">
      <c r="A39" s="329" t="s">
        <v>19</v>
      </c>
      <c r="B39" s="330"/>
      <c r="C39" s="330"/>
      <c r="D39" s="330"/>
      <c r="E39" s="330"/>
      <c r="F39" s="330"/>
      <c r="G39" s="330"/>
      <c r="H39" s="330"/>
      <c r="I39" s="330"/>
      <c r="J39" s="227">
        <v>0</v>
      </c>
    </row>
    <row r="40" spans="1:10">
      <c r="A40" s="329" t="s">
        <v>231</v>
      </c>
      <c r="B40" s="330"/>
      <c r="C40" s="330"/>
      <c r="D40" s="330"/>
      <c r="E40" s="330"/>
      <c r="F40" s="330"/>
      <c r="G40" s="330"/>
      <c r="H40" s="330"/>
      <c r="I40" s="330"/>
      <c r="J40" s="227">
        <v>0</v>
      </c>
    </row>
    <row r="41" spans="1:10">
      <c r="A41" s="329" t="s">
        <v>230</v>
      </c>
      <c r="B41" s="330"/>
      <c r="C41" s="330"/>
      <c r="D41" s="330"/>
      <c r="E41" s="330"/>
      <c r="F41" s="330"/>
      <c r="G41" s="330"/>
      <c r="H41" s="330"/>
      <c r="I41" s="330"/>
      <c r="J41" s="227">
        <v>0</v>
      </c>
    </row>
    <row r="42" spans="1:10">
      <c r="A42" s="329" t="s">
        <v>229</v>
      </c>
      <c r="B42" s="330"/>
      <c r="C42" s="330"/>
      <c r="D42" s="330"/>
      <c r="E42" s="330"/>
      <c r="F42" s="330"/>
      <c r="G42" s="330"/>
      <c r="H42" s="330"/>
      <c r="I42" s="330"/>
      <c r="J42" s="227">
        <v>0</v>
      </c>
    </row>
    <row r="43" spans="1:10">
      <c r="A43" s="329" t="s">
        <v>20</v>
      </c>
      <c r="B43" s="330"/>
      <c r="C43" s="330"/>
      <c r="D43" s="330"/>
      <c r="E43" s="330"/>
      <c r="F43" s="330"/>
      <c r="G43" s="330"/>
      <c r="H43" s="330"/>
      <c r="I43" s="330"/>
      <c r="J43" s="227">
        <v>108693.7</v>
      </c>
    </row>
    <row r="44" spans="1:10">
      <c r="A44" s="329" t="s">
        <v>21</v>
      </c>
      <c r="B44" s="330"/>
      <c r="C44" s="330"/>
      <c r="D44" s="330"/>
      <c r="E44" s="330"/>
      <c r="F44" s="330"/>
      <c r="G44" s="330"/>
      <c r="H44" s="330"/>
      <c r="I44" s="330"/>
      <c r="J44" s="227">
        <v>12773.26</v>
      </c>
    </row>
    <row r="45" spans="1:10">
      <c r="A45" s="331" t="s">
        <v>22</v>
      </c>
      <c r="B45" s="332"/>
      <c r="C45" s="332"/>
      <c r="D45" s="332"/>
      <c r="E45" s="332"/>
      <c r="F45" s="332"/>
      <c r="G45" s="332"/>
      <c r="H45" s="332"/>
      <c r="I45" s="332"/>
      <c r="J45" s="227">
        <v>229.58</v>
      </c>
    </row>
    <row r="46" spans="1:10">
      <c r="A46" s="206" t="s">
        <v>23</v>
      </c>
      <c r="B46" s="240"/>
      <c r="C46" s="240"/>
      <c r="D46" s="240"/>
      <c r="E46" s="240"/>
      <c r="F46" s="240"/>
      <c r="G46" s="240"/>
      <c r="H46" s="240"/>
      <c r="I46" s="228"/>
      <c r="J46" s="229">
        <f>SUM(J38:J45)</f>
        <v>121696.54</v>
      </c>
    </row>
    <row r="47" spans="1:10">
      <c r="A47" s="207"/>
      <c r="B47" s="207"/>
      <c r="C47" s="207"/>
      <c r="D47" s="207"/>
      <c r="E47" s="207"/>
      <c r="F47" s="207"/>
      <c r="G47" s="207"/>
      <c r="H47" s="207"/>
      <c r="I47" s="230"/>
      <c r="J47" s="231"/>
    </row>
    <row r="48" spans="1:10">
      <c r="A48" s="206" t="s">
        <v>24</v>
      </c>
      <c r="B48" s="240"/>
      <c r="C48" s="240"/>
      <c r="D48" s="240"/>
      <c r="E48" s="240"/>
      <c r="F48" s="240"/>
      <c r="G48" s="240"/>
      <c r="H48" s="240"/>
      <c r="I48" s="228"/>
      <c r="J48" s="237" t="s">
        <v>2</v>
      </c>
    </row>
    <row r="49" spans="1:10">
      <c r="A49" s="331" t="s">
        <v>25</v>
      </c>
      <c r="B49" s="332"/>
      <c r="C49" s="332"/>
      <c r="D49" s="332"/>
      <c r="E49" s="332"/>
      <c r="F49" s="332"/>
      <c r="G49" s="332"/>
      <c r="H49" s="332"/>
      <c r="I49" s="332"/>
      <c r="J49" s="227">
        <v>30325681.829999998</v>
      </c>
    </row>
    <row r="50" spans="1:10">
      <c r="A50" s="331" t="s">
        <v>26</v>
      </c>
      <c r="B50" s="332"/>
      <c r="C50" s="332"/>
      <c r="D50" s="332"/>
      <c r="E50" s="332"/>
      <c r="F50" s="332"/>
      <c r="G50" s="332"/>
      <c r="H50" s="332"/>
      <c r="I50" s="332"/>
      <c r="J50" s="227">
        <v>7708124.9000000004</v>
      </c>
    </row>
    <row r="51" spans="1:10">
      <c r="A51" s="331" t="s">
        <v>200</v>
      </c>
      <c r="B51" s="332"/>
      <c r="C51" s="332"/>
      <c r="D51" s="332"/>
      <c r="E51" s="332"/>
      <c r="F51" s="332"/>
      <c r="G51" s="332"/>
      <c r="H51" s="332"/>
      <c r="I51" s="332"/>
      <c r="J51" s="227">
        <v>10853528.039999999</v>
      </c>
    </row>
    <row r="52" spans="1:10">
      <c r="A52" s="331" t="s">
        <v>206</v>
      </c>
      <c r="B52" s="332"/>
      <c r="C52" s="332"/>
      <c r="D52" s="332"/>
      <c r="E52" s="332"/>
      <c r="F52" s="332"/>
      <c r="G52" s="332"/>
      <c r="H52" s="332"/>
      <c r="I52" s="332"/>
      <c r="J52" s="227">
        <v>10820219.18</v>
      </c>
    </row>
    <row r="53" spans="1:10">
      <c r="A53" s="331" t="s">
        <v>235</v>
      </c>
      <c r="B53" s="332"/>
      <c r="C53" s="332"/>
      <c r="D53" s="332"/>
      <c r="E53" s="332"/>
      <c r="F53" s="332"/>
      <c r="G53" s="332"/>
      <c r="H53" s="332"/>
      <c r="I53" s="332"/>
      <c r="J53" s="227">
        <v>5374126.3799999999</v>
      </c>
    </row>
    <row r="54" spans="1:10">
      <c r="A54" s="331" t="s">
        <v>232</v>
      </c>
      <c r="B54" s="332"/>
      <c r="C54" s="332"/>
      <c r="D54" s="332"/>
      <c r="E54" s="332"/>
      <c r="F54" s="332"/>
      <c r="G54" s="332"/>
      <c r="H54" s="332"/>
      <c r="I54" s="332"/>
      <c r="J54" s="227">
        <v>5373205.3099999996</v>
      </c>
    </row>
    <row r="55" spans="1:10">
      <c r="A55" s="331" t="s">
        <v>236</v>
      </c>
      <c r="B55" s="332"/>
      <c r="C55" s="332"/>
      <c r="D55" s="332"/>
      <c r="E55" s="332"/>
      <c r="F55" s="332"/>
      <c r="G55" s="332"/>
      <c r="H55" s="332"/>
      <c r="I55" s="332"/>
      <c r="J55" s="227">
        <v>1799942.45</v>
      </c>
    </row>
    <row r="56" spans="1:10">
      <c r="A56" s="331" t="s">
        <v>237</v>
      </c>
      <c r="B56" s="332"/>
      <c r="C56" s="332"/>
      <c r="D56" s="332"/>
      <c r="E56" s="332"/>
      <c r="F56" s="332"/>
      <c r="G56" s="332"/>
      <c r="H56" s="332"/>
      <c r="I56" s="332"/>
      <c r="J56" s="227">
        <v>1800302.49</v>
      </c>
    </row>
    <row r="57" spans="1:10">
      <c r="A57" s="331" t="s">
        <v>238</v>
      </c>
      <c r="B57" s="332"/>
      <c r="C57" s="332"/>
      <c r="D57" s="332"/>
      <c r="E57" s="332"/>
      <c r="F57" s="332"/>
      <c r="G57" s="332"/>
      <c r="H57" s="332"/>
      <c r="I57" s="332"/>
      <c r="J57" s="227">
        <v>1802512.33</v>
      </c>
    </row>
    <row r="58" spans="1:10">
      <c r="A58" s="331" t="s">
        <v>239</v>
      </c>
      <c r="B58" s="332"/>
      <c r="C58" s="332"/>
      <c r="D58" s="332"/>
      <c r="E58" s="332"/>
      <c r="F58" s="332"/>
      <c r="G58" s="332"/>
      <c r="H58" s="332"/>
      <c r="I58" s="332"/>
      <c r="J58" s="227">
        <v>1803662.77</v>
      </c>
    </row>
    <row r="59" spans="1:10">
      <c r="A59" s="331" t="s">
        <v>244</v>
      </c>
      <c r="B59" s="332"/>
      <c r="C59" s="332"/>
      <c r="D59" s="332"/>
      <c r="E59" s="332"/>
      <c r="F59" s="332"/>
      <c r="G59" s="332"/>
      <c r="H59" s="332"/>
      <c r="I59" s="332"/>
      <c r="J59" s="227">
        <v>2024707.43</v>
      </c>
    </row>
    <row r="60" spans="1:10">
      <c r="A60" s="331" t="s">
        <v>245</v>
      </c>
      <c r="B60" s="332"/>
      <c r="C60" s="332"/>
      <c r="D60" s="332"/>
      <c r="E60" s="332"/>
      <c r="F60" s="332"/>
      <c r="G60" s="332"/>
      <c r="H60" s="332"/>
      <c r="I60" s="332"/>
      <c r="J60" s="227">
        <v>2024001.51</v>
      </c>
    </row>
    <row r="61" spans="1:10">
      <c r="A61" s="331" t="s">
        <v>246</v>
      </c>
      <c r="B61" s="332"/>
      <c r="C61" s="332"/>
      <c r="D61" s="332"/>
      <c r="E61" s="332"/>
      <c r="F61" s="332"/>
      <c r="G61" s="332"/>
      <c r="H61" s="332"/>
      <c r="I61" s="332"/>
      <c r="J61" s="227">
        <v>4099110.97</v>
      </c>
    </row>
    <row r="62" spans="1:10">
      <c r="A62" s="331" t="s">
        <v>247</v>
      </c>
      <c r="B62" s="332"/>
      <c r="C62" s="332"/>
      <c r="D62" s="332"/>
      <c r="E62" s="332"/>
      <c r="F62" s="332"/>
      <c r="G62" s="332"/>
      <c r="H62" s="332"/>
      <c r="I62" s="332"/>
      <c r="J62" s="227">
        <v>3979127.43</v>
      </c>
    </row>
    <row r="63" spans="1:10">
      <c r="A63" s="331" t="s">
        <v>234</v>
      </c>
      <c r="B63" s="332"/>
      <c r="C63" s="332"/>
      <c r="D63" s="332"/>
      <c r="E63" s="332"/>
      <c r="F63" s="332"/>
      <c r="G63" s="332"/>
      <c r="H63" s="332"/>
      <c r="I63" s="332"/>
      <c r="J63" s="227">
        <v>715102.28</v>
      </c>
    </row>
    <row r="64" spans="1:10">
      <c r="A64" s="331" t="s">
        <v>131</v>
      </c>
      <c r="B64" s="332"/>
      <c r="C64" s="332"/>
      <c r="D64" s="332"/>
      <c r="E64" s="332"/>
      <c r="F64" s="332"/>
      <c r="G64" s="332"/>
      <c r="H64" s="332"/>
      <c r="I64" s="332"/>
      <c r="J64" s="227">
        <v>367962.31</v>
      </c>
    </row>
    <row r="65" spans="1:10">
      <c r="A65" s="206" t="s">
        <v>28</v>
      </c>
      <c r="B65" s="240"/>
      <c r="C65" s="240"/>
      <c r="D65" s="240"/>
      <c r="E65" s="240"/>
      <c r="F65" s="240"/>
      <c r="G65" s="240"/>
      <c r="H65" s="240"/>
      <c r="I65" s="228"/>
      <c r="J65" s="229">
        <f>SUM(J49:J64)</f>
        <v>90871317.610000014</v>
      </c>
    </row>
    <row r="66" spans="1:10">
      <c r="A66" s="208"/>
      <c r="B66" s="208"/>
      <c r="C66" s="208"/>
      <c r="D66" s="208"/>
      <c r="E66" s="208"/>
      <c r="F66" s="208"/>
      <c r="G66" s="208"/>
      <c r="H66" s="208"/>
      <c r="I66" s="232"/>
      <c r="J66" s="232"/>
    </row>
    <row r="67" spans="1:10">
      <c r="A67" s="209" t="s">
        <v>29</v>
      </c>
      <c r="B67" s="209"/>
      <c r="C67" s="209"/>
      <c r="D67" s="209"/>
      <c r="E67" s="209"/>
      <c r="F67" s="209"/>
      <c r="G67" s="209"/>
      <c r="H67" s="209"/>
      <c r="I67" s="319">
        <f>J46+J65</f>
        <v>90993014.150000021</v>
      </c>
      <c r="J67" s="320"/>
    </row>
    <row r="68" spans="1:10" ht="16.5" thickBot="1"/>
    <row r="69" spans="1:10" ht="16.5" thickBot="1">
      <c r="A69" s="211" t="s">
        <v>250</v>
      </c>
      <c r="B69" s="241"/>
      <c r="C69" s="241"/>
      <c r="D69" s="241"/>
      <c r="E69" s="241"/>
      <c r="F69" s="241"/>
      <c r="G69" s="241"/>
      <c r="H69" s="241"/>
      <c r="I69" s="233"/>
      <c r="J69" s="234"/>
    </row>
  </sheetData>
  <mergeCells count="31">
    <mergeCell ref="A1:J1"/>
    <mergeCell ref="A56:I56"/>
    <mergeCell ref="A57:I57"/>
    <mergeCell ref="A58:I58"/>
    <mergeCell ref="A63:I63"/>
    <mergeCell ref="A3:J3"/>
    <mergeCell ref="A61:I61"/>
    <mergeCell ref="A62:I62"/>
    <mergeCell ref="A64:I64"/>
    <mergeCell ref="A51:I51"/>
    <mergeCell ref="A52:I52"/>
    <mergeCell ref="A53:I53"/>
    <mergeCell ref="A54:I54"/>
    <mergeCell ref="A55:I55"/>
    <mergeCell ref="A60:I60"/>
    <mergeCell ref="I67:J67"/>
    <mergeCell ref="A6:J7"/>
    <mergeCell ref="A22:J23"/>
    <mergeCell ref="A34:J34"/>
    <mergeCell ref="A35:J36"/>
    <mergeCell ref="A38:I38"/>
    <mergeCell ref="A39:I39"/>
    <mergeCell ref="A40:I40"/>
    <mergeCell ref="A41:I41"/>
    <mergeCell ref="A42:I42"/>
    <mergeCell ref="A43:I43"/>
    <mergeCell ref="A44:I44"/>
    <mergeCell ref="A45:I45"/>
    <mergeCell ref="A49:I49"/>
    <mergeCell ref="A50:I50"/>
    <mergeCell ref="A59:I59"/>
  </mergeCells>
  <pageMargins left="0.15748031496062992" right="0.23622047244094491" top="0.55118110236220474" bottom="0.39370078740157483" header="0.31496062992125984" footer="0.27559055118110237"/>
  <pageSetup paperSize="9"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61"/>
  <sheetViews>
    <sheetView workbookViewId="0">
      <selection activeCell="B12" sqref="B12"/>
    </sheetView>
  </sheetViews>
  <sheetFormatPr defaultRowHeight="15.75" customHeight="1"/>
  <cols>
    <col min="1" max="1" width="1.42578125" style="6" customWidth="1"/>
    <col min="2" max="2" width="60.5703125" style="99" customWidth="1"/>
    <col min="3" max="3" width="15.140625" style="100" customWidth="1"/>
    <col min="4" max="4" width="13.42578125" style="100" customWidth="1"/>
    <col min="5" max="5" width="16" style="5" customWidth="1"/>
    <col min="6" max="7" width="9.5703125" style="5" customWidth="1"/>
    <col min="8" max="8" width="14.140625" style="5" customWidth="1"/>
    <col min="9" max="9" width="12.140625" style="5" customWidth="1"/>
    <col min="10" max="10" width="16" style="5" customWidth="1"/>
    <col min="11" max="20" width="9.5703125" style="5" customWidth="1"/>
    <col min="21" max="1024" width="9.42578125" style="6" customWidth="1"/>
  </cols>
  <sheetData>
    <row r="1" spans="1:20" ht="15.75" customHeight="1">
      <c r="A1" s="5"/>
      <c r="B1" s="80"/>
      <c r="C1" s="81"/>
      <c r="D1" s="82"/>
      <c r="H1" s="283" t="s">
        <v>1</v>
      </c>
      <c r="I1" s="283"/>
      <c r="J1" s="283"/>
    </row>
    <row r="2" spans="1:20" ht="15.75" customHeight="1">
      <c r="A2" s="5"/>
      <c r="B2" s="84"/>
      <c r="C2" s="85"/>
      <c r="D2" s="86"/>
      <c r="H2" s="87" t="s">
        <v>44</v>
      </c>
      <c r="I2" s="87" t="s">
        <v>51</v>
      </c>
      <c r="J2" s="87" t="s">
        <v>52</v>
      </c>
    </row>
    <row r="3" spans="1:20" ht="15.75" customHeight="1">
      <c r="A3" s="5"/>
      <c r="B3" s="84"/>
      <c r="C3" s="85"/>
      <c r="D3" s="86"/>
      <c r="H3" s="83">
        <f>2865.55+13025.22+228922.64+2084.84+128300.06+84032.98+216603.29+230278.8+230454.26+5103.95</f>
        <v>1141671.5899999999</v>
      </c>
      <c r="I3" s="83">
        <f>3708.94+12807.11+229663.53+82460.16+126776.71+4258.15+2084.84+5994.43+5840.53+974.08+2299.66</f>
        <v>476868.14000000007</v>
      </c>
      <c r="J3" s="83">
        <f t="shared" ref="J3:J11" si="0">H3+I3</f>
        <v>1618539.73</v>
      </c>
    </row>
    <row r="4" spans="1:20" ht="15.75" customHeight="1">
      <c r="A4" s="5"/>
      <c r="B4" s="84"/>
      <c r="C4" s="85"/>
      <c r="D4" s="86"/>
      <c r="H4" s="83">
        <f>3150.25+8505.16+145678.01+81645.35+53475.53+3247.98</f>
        <v>295702.28000000003</v>
      </c>
      <c r="I4" s="83">
        <f>3686.95+8149.98+146149.45+80675.97+52474.67+2709.75+146652.65+27.48+2688.12+619.87+47767.29+80288.48</f>
        <v>571890.66</v>
      </c>
      <c r="J4" s="83">
        <f t="shared" si="0"/>
        <v>867592.94000000006</v>
      </c>
    </row>
    <row r="5" spans="1:20" ht="15.75" customHeight="1">
      <c r="A5" s="5"/>
      <c r="B5" s="88"/>
      <c r="C5" s="89"/>
      <c r="D5" s="90"/>
      <c r="H5" s="83">
        <v>110551.48</v>
      </c>
      <c r="I5" s="83">
        <f>H5*3</f>
        <v>331654.44</v>
      </c>
      <c r="J5" s="83">
        <f t="shared" si="0"/>
        <v>442205.92</v>
      </c>
    </row>
    <row r="6" spans="1:20" s="20" customFormat="1" ht="24.95" customHeight="1">
      <c r="A6" s="19"/>
      <c r="B6" s="278" t="s">
        <v>0</v>
      </c>
      <c r="C6" s="278"/>
      <c r="D6" s="278"/>
      <c r="E6" s="19"/>
      <c r="F6" s="19"/>
      <c r="G6" s="19"/>
      <c r="H6" s="83">
        <f>-83109.26+9149.53+123935.1+13411.06</f>
        <v>63386.430000000008</v>
      </c>
      <c r="I6" s="83">
        <f>-229103.77-376056.58</f>
        <v>-605160.35</v>
      </c>
      <c r="J6" s="83">
        <f t="shared" si="0"/>
        <v>-541773.91999999993</v>
      </c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9" t="s">
        <v>1</v>
      </c>
      <c r="C7" s="59" t="s">
        <v>53</v>
      </c>
      <c r="D7" s="60" t="s">
        <v>54</v>
      </c>
      <c r="E7" s="19"/>
      <c r="F7" s="19"/>
      <c r="G7" s="19"/>
      <c r="H7" s="83">
        <v>49959.32</v>
      </c>
      <c r="I7" s="83">
        <f>49824.79+49107.82</f>
        <v>98932.61</v>
      </c>
      <c r="J7" s="83">
        <f t="shared" si="0"/>
        <v>148891.93</v>
      </c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9"/>
      <c r="C8" s="60" t="s">
        <v>2</v>
      </c>
      <c r="D8" s="60" t="s">
        <v>2</v>
      </c>
      <c r="H8" s="83">
        <v>20938.599999999999</v>
      </c>
      <c r="I8" s="83">
        <f>20609.15+20213.01</f>
        <v>40822.160000000003</v>
      </c>
      <c r="J8" s="83">
        <f t="shared" si="0"/>
        <v>61760.76</v>
      </c>
    </row>
    <row r="9" spans="1:20" ht="17.100000000000001" customHeight="1">
      <c r="A9" s="5"/>
      <c r="B9" s="54" t="s">
        <v>3</v>
      </c>
      <c r="C9" s="24">
        <f>467714.23+14117.56+2760.37+2355.32</f>
        <v>486947.48</v>
      </c>
      <c r="D9" s="55">
        <f t="shared" ref="D9:D16" si="1">J3</f>
        <v>1618539.73</v>
      </c>
      <c r="E9" s="91">
        <f t="shared" ref="E9:E19" si="2">D9+C9</f>
        <v>2105487.21</v>
      </c>
      <c r="H9" s="83">
        <v>10286.799999999999</v>
      </c>
      <c r="I9" s="83">
        <f>10125.34+9929.92</f>
        <v>20055.260000000002</v>
      </c>
      <c r="J9" s="83">
        <f t="shared" si="0"/>
        <v>30342.06</v>
      </c>
    </row>
    <row r="10" spans="1:20" ht="17.100000000000001" customHeight="1">
      <c r="A10" s="5"/>
      <c r="B10" s="54" t="s">
        <v>4</v>
      </c>
      <c r="C10" s="55">
        <f>297636.33+8983.9+1756.6+1498.84</f>
        <v>309875.67000000004</v>
      </c>
      <c r="D10" s="55">
        <f t="shared" si="1"/>
        <v>867592.94000000006</v>
      </c>
      <c r="E10" s="91">
        <f t="shared" si="2"/>
        <v>1177468.6100000001</v>
      </c>
      <c r="H10" s="83">
        <v>4288.6099999999997</v>
      </c>
      <c r="I10" s="83">
        <f>4221.3+4139.82</f>
        <v>8361.119999999999</v>
      </c>
      <c r="J10" s="83">
        <f t="shared" si="0"/>
        <v>12649.73</v>
      </c>
    </row>
    <row r="11" spans="1:20" ht="17.100000000000001" customHeight="1">
      <c r="A11" s="5"/>
      <c r="B11" s="54" t="s">
        <v>133</v>
      </c>
      <c r="C11" s="55">
        <v>126693.92</v>
      </c>
      <c r="D11" s="55">
        <f t="shared" si="1"/>
        <v>442205.92</v>
      </c>
      <c r="E11" s="91">
        <f t="shared" si="2"/>
        <v>568899.83999999997</v>
      </c>
      <c r="H11" s="83">
        <v>11365.55</v>
      </c>
      <c r="I11" s="83">
        <f>9678.54+I18</f>
        <v>11365.55</v>
      </c>
      <c r="J11" s="83">
        <f t="shared" si="0"/>
        <v>22731.1</v>
      </c>
    </row>
    <row r="12" spans="1:20" ht="17.100000000000001" customHeight="1">
      <c r="A12" s="5"/>
      <c r="B12" s="54" t="s">
        <v>6</v>
      </c>
      <c r="C12" s="55">
        <v>307279.78999999998</v>
      </c>
      <c r="D12" s="55">
        <f t="shared" si="1"/>
        <v>-541773.91999999993</v>
      </c>
      <c r="E12" s="91">
        <f t="shared" si="2"/>
        <v>-234494.12999999995</v>
      </c>
      <c r="H12" s="83">
        <v>0</v>
      </c>
      <c r="I12" s="83">
        <v>0</v>
      </c>
      <c r="J12" s="83">
        <v>0</v>
      </c>
    </row>
    <row r="13" spans="1:20" ht="17.100000000000001" customHeight="1">
      <c r="A13" s="5"/>
      <c r="B13" s="54" t="s">
        <v>55</v>
      </c>
      <c r="C13" s="55">
        <v>50368.99</v>
      </c>
      <c r="D13" s="55">
        <f t="shared" si="1"/>
        <v>148891.93</v>
      </c>
      <c r="E13" s="91">
        <f t="shared" si="2"/>
        <v>199260.91999999998</v>
      </c>
      <c r="H13" s="283" t="s">
        <v>10</v>
      </c>
      <c r="I13" s="283"/>
      <c r="J13" s="283"/>
    </row>
    <row r="14" spans="1:20" ht="17.100000000000001" customHeight="1">
      <c r="A14" s="5"/>
      <c r="B14" s="54" t="s">
        <v>56</v>
      </c>
      <c r="C14" s="55">
        <v>21043.040000000001</v>
      </c>
      <c r="D14" s="55">
        <f t="shared" si="1"/>
        <v>61760.76</v>
      </c>
      <c r="E14" s="91">
        <f t="shared" si="2"/>
        <v>82803.8</v>
      </c>
      <c r="H14" s="83">
        <v>422523.74</v>
      </c>
      <c r="I14" s="92">
        <f>1209252.91-H14</f>
        <v>786729.16999999993</v>
      </c>
      <c r="J14" s="83">
        <f>H14+I14</f>
        <v>1209252.9099999999</v>
      </c>
    </row>
    <row r="15" spans="1:20" ht="17.100000000000001" customHeight="1">
      <c r="A15" s="5"/>
      <c r="B15" s="54" t="s">
        <v>57</v>
      </c>
      <c r="C15" s="55">
        <v>10337.91</v>
      </c>
      <c r="D15" s="55">
        <f t="shared" si="1"/>
        <v>30342.06</v>
      </c>
      <c r="E15" s="91">
        <f t="shared" si="2"/>
        <v>40679.97</v>
      </c>
      <c r="H15" s="83">
        <v>55988.09</v>
      </c>
      <c r="I15" s="92">
        <f>167350.35-H15</f>
        <v>111362.26000000001</v>
      </c>
      <c r="J15" s="83">
        <f>H15+I15</f>
        <v>167350.35</v>
      </c>
    </row>
    <row r="16" spans="1:20" ht="17.100000000000001" customHeight="1">
      <c r="A16" s="5"/>
      <c r="B16" s="54" t="s">
        <v>58</v>
      </c>
      <c r="C16" s="55">
        <v>4309.92</v>
      </c>
      <c r="D16" s="55">
        <f t="shared" si="1"/>
        <v>12649.73</v>
      </c>
      <c r="E16" s="91">
        <f t="shared" si="2"/>
        <v>16959.650000000001</v>
      </c>
      <c r="H16" s="83">
        <v>21959.439999999999</v>
      </c>
      <c r="I16" s="92">
        <f>82600.52-H16</f>
        <v>60641.08</v>
      </c>
      <c r="J16" s="83">
        <f>H16+I16</f>
        <v>82600.52</v>
      </c>
    </row>
    <row r="17" spans="1:20" ht="17.100000000000001" customHeight="1">
      <c r="A17" s="5"/>
      <c r="B17" s="54" t="s">
        <v>59</v>
      </c>
      <c r="C17" s="55">
        <v>14939</v>
      </c>
      <c r="D17" s="55">
        <v>0</v>
      </c>
      <c r="E17" s="91">
        <f t="shared" si="2"/>
        <v>14939</v>
      </c>
      <c r="H17" s="83"/>
      <c r="I17" s="92"/>
      <c r="J17" s="83"/>
    </row>
    <row r="18" spans="1:20" ht="17.100000000000001" customHeight="1">
      <c r="A18" s="5"/>
      <c r="B18" s="54" t="s">
        <v>7</v>
      </c>
      <c r="C18" s="55">
        <v>11365.55</v>
      </c>
      <c r="D18" s="55">
        <f>J11</f>
        <v>22731.1</v>
      </c>
      <c r="E18" s="91">
        <f t="shared" si="2"/>
        <v>34096.649999999994</v>
      </c>
      <c r="H18" s="83">
        <v>1159.6500000000001</v>
      </c>
      <c r="I18" s="92">
        <f>H11-9678.54</f>
        <v>1687.0099999999984</v>
      </c>
      <c r="J18" s="83">
        <f>H18+I18</f>
        <v>2846.6599999999985</v>
      </c>
    </row>
    <row r="19" spans="1:20" ht="17.100000000000001" customHeight="1">
      <c r="A19" s="5"/>
      <c r="B19" s="54" t="s">
        <v>8</v>
      </c>
      <c r="C19" s="55">
        <v>0</v>
      </c>
      <c r="D19" s="55">
        <v>0</v>
      </c>
      <c r="E19" s="91">
        <f t="shared" si="2"/>
        <v>0</v>
      </c>
      <c r="H19" s="83">
        <f>520002.48-H16-H15-H14</f>
        <v>19531.209999999963</v>
      </c>
      <c r="I19" s="92">
        <f>(1515449.58-520002.48)-I14-I15-I16</f>
        <v>36714.590000000157</v>
      </c>
      <c r="J19" s="83">
        <f>H19+I19</f>
        <v>56245.800000000119</v>
      </c>
    </row>
    <row r="20" spans="1:20" s="20" customFormat="1" ht="15.75" customHeight="1">
      <c r="A20" s="19"/>
      <c r="B20" s="56" t="s">
        <v>9</v>
      </c>
      <c r="C20" s="57">
        <f>SUM(C9:C19)</f>
        <v>1343161.27</v>
      </c>
      <c r="D20" s="57">
        <f>SUM(D9:D19)</f>
        <v>2662940.25</v>
      </c>
      <c r="E20" s="19"/>
      <c r="F20" s="19"/>
      <c r="G20" s="19"/>
      <c r="H20" s="5"/>
      <c r="I20" s="5"/>
      <c r="J20" s="5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85"/>
    </row>
    <row r="22" spans="1:20" s="20" customFormat="1" ht="15.75" customHeight="1">
      <c r="A22" s="19"/>
      <c r="B22" s="279" t="s">
        <v>10</v>
      </c>
      <c r="C22" s="280" t="s">
        <v>53</v>
      </c>
      <c r="D22" s="281" t="str">
        <f>D7</f>
        <v>JAN A MAR 2021</v>
      </c>
      <c r="E22" s="19"/>
      <c r="F22" s="19"/>
      <c r="G22" s="19"/>
      <c r="H22" s="5"/>
      <c r="I22" s="5"/>
      <c r="J22" s="5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9"/>
      <c r="C23" s="280"/>
      <c r="D23" s="281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</row>
    <row r="25" spans="1:20" ht="17.100000000000001" customHeight="1">
      <c r="A25" s="5"/>
      <c r="B25" s="54" t="s">
        <v>60</v>
      </c>
      <c r="C25" s="55">
        <v>434677.58</v>
      </c>
      <c r="D25" s="94">
        <f>J14</f>
        <v>1209252.9099999999</v>
      </c>
      <c r="E25" s="91"/>
      <c r="H25" s="19"/>
      <c r="I25" s="19"/>
      <c r="J25" s="19"/>
    </row>
    <row r="26" spans="1:20" ht="17.100000000000001" customHeight="1">
      <c r="A26" s="5"/>
      <c r="B26" s="54" t="s">
        <v>39</v>
      </c>
      <c r="C26" s="55">
        <v>55988.09</v>
      </c>
      <c r="D26" s="94">
        <f>J15</f>
        <v>167350.35</v>
      </c>
      <c r="E26" s="91"/>
      <c r="H26" s="95"/>
      <c r="I26" s="19"/>
      <c r="J26" s="19"/>
    </row>
    <row r="27" spans="1:20" ht="17.100000000000001" customHeight="1">
      <c r="A27" s="5"/>
      <c r="B27" s="54" t="s">
        <v>40</v>
      </c>
      <c r="C27" s="63">
        <v>21932.5</v>
      </c>
      <c r="D27" s="94">
        <f>J16</f>
        <v>82600.52</v>
      </c>
      <c r="E27" s="91"/>
    </row>
    <row r="28" spans="1:20" ht="17.100000000000001" customHeight="1">
      <c r="A28" s="5"/>
      <c r="B28" s="54" t="s">
        <v>13</v>
      </c>
      <c r="C28" s="55">
        <v>1159.6500000000001</v>
      </c>
      <c r="D28" s="94">
        <f>1159.65*3</f>
        <v>3478.9500000000003</v>
      </c>
      <c r="E28" s="91"/>
      <c r="H28" s="19"/>
      <c r="I28" s="19"/>
      <c r="J28" s="19"/>
    </row>
    <row r="29" spans="1:20" ht="17.100000000000001" customHeight="1">
      <c r="A29" s="5"/>
      <c r="B29" s="54" t="s">
        <v>41</v>
      </c>
      <c r="C29" s="63">
        <f>537975.19-C25-C26-C27</f>
        <v>25377.019999999931</v>
      </c>
      <c r="D29" s="94">
        <f>J19</f>
        <v>56245.800000000119</v>
      </c>
      <c r="E29" s="91"/>
      <c r="H29" s="95"/>
      <c r="I29" s="19"/>
      <c r="J29" s="19"/>
    </row>
    <row r="30" spans="1:20" s="20" customFormat="1" ht="17.100000000000001" customHeight="1">
      <c r="A30" s="19"/>
      <c r="B30" s="64" t="s">
        <v>9</v>
      </c>
      <c r="C30" s="65">
        <f>SUM(C25:C29)</f>
        <v>539134.84</v>
      </c>
      <c r="D30" s="65">
        <f>SUM(D25:D29)</f>
        <v>1518928.53</v>
      </c>
      <c r="E30" s="91"/>
      <c r="F30" s="19"/>
      <c r="G30" s="19"/>
      <c r="H30" s="5"/>
      <c r="I30" s="5"/>
      <c r="J30" s="5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804026.43</v>
      </c>
      <c r="D31" s="68">
        <f>D20-D30</f>
        <v>1144011.72</v>
      </c>
      <c r="E31" s="91"/>
      <c r="F31" s="19"/>
      <c r="G31" s="19"/>
      <c r="H31" s="5"/>
      <c r="I31" s="5"/>
      <c r="J31" s="5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85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5"/>
      <c r="I33" s="5"/>
      <c r="J33" s="5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9" t="s">
        <v>16</v>
      </c>
      <c r="C34" s="281" t="str">
        <f>C22</f>
        <v>ABRIL</v>
      </c>
      <c r="D34" s="96"/>
      <c r="E34" s="19"/>
      <c r="F34" s="19"/>
      <c r="G34" s="19"/>
      <c r="H34" s="5"/>
      <c r="I34" s="5"/>
      <c r="J34" s="5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9"/>
      <c r="C35" s="281"/>
      <c r="D35" s="85"/>
    </row>
    <row r="36" spans="1:20" ht="15.75" customHeight="1">
      <c r="A36" s="5"/>
      <c r="B36" s="72" t="s">
        <v>17</v>
      </c>
      <c r="C36" s="97" t="s">
        <v>2</v>
      </c>
      <c r="D36" s="85"/>
    </row>
    <row r="37" spans="1:20" ht="15.75" customHeight="1">
      <c r="A37" s="5"/>
      <c r="B37" s="54" t="s">
        <v>18</v>
      </c>
      <c r="C37" s="55">
        <v>10205.9</v>
      </c>
      <c r="D37" s="85"/>
    </row>
    <row r="38" spans="1:20" ht="15.75" customHeight="1">
      <c r="A38" s="5"/>
      <c r="B38" s="54" t="s">
        <v>19</v>
      </c>
      <c r="C38" s="55">
        <v>0</v>
      </c>
      <c r="D38" s="85"/>
    </row>
    <row r="39" spans="1:20" ht="15.75" customHeight="1">
      <c r="A39" s="5"/>
      <c r="B39" s="54" t="s">
        <v>20</v>
      </c>
      <c r="C39" s="55">
        <v>1579.92</v>
      </c>
      <c r="D39" s="85"/>
    </row>
    <row r="40" spans="1:20" ht="15.75" customHeight="1">
      <c r="A40" s="5"/>
      <c r="B40" s="54" t="s">
        <v>21</v>
      </c>
      <c r="C40" s="55">
        <v>47615.040000000001</v>
      </c>
      <c r="D40" s="85"/>
    </row>
    <row r="41" spans="1:20" ht="15.75" customHeight="1">
      <c r="A41" s="5"/>
      <c r="B41" s="54" t="s">
        <v>22</v>
      </c>
      <c r="C41" s="55">
        <v>365.82</v>
      </c>
      <c r="D41" s="85"/>
    </row>
    <row r="42" spans="1:20" ht="15.75" customHeight="1">
      <c r="A42" s="5"/>
      <c r="B42" s="61" t="s">
        <v>23</v>
      </c>
      <c r="C42" s="74">
        <f>SUM(C37:C41)</f>
        <v>59766.68</v>
      </c>
      <c r="D42" s="85"/>
    </row>
    <row r="43" spans="1:20" ht="15.75" customHeight="1">
      <c r="A43" s="5"/>
      <c r="B43" s="93"/>
      <c r="C43" s="85"/>
      <c r="D43" s="85"/>
    </row>
    <row r="44" spans="1:20" ht="15.75" customHeight="1">
      <c r="A44" s="5"/>
      <c r="B44" s="61" t="s">
        <v>24</v>
      </c>
      <c r="C44" s="98" t="s">
        <v>2</v>
      </c>
      <c r="D44" s="85"/>
    </row>
    <row r="45" spans="1:20" ht="15.75" customHeight="1">
      <c r="A45" s="5"/>
      <c r="B45" s="54" t="s">
        <v>25</v>
      </c>
      <c r="C45" s="55">
        <v>34267351.57</v>
      </c>
      <c r="D45" s="85"/>
    </row>
    <row r="46" spans="1:20" ht="15.75" customHeight="1">
      <c r="A46" s="5"/>
      <c r="B46" s="54" t="s">
        <v>26</v>
      </c>
      <c r="C46" s="55">
        <v>9543804.2200000007</v>
      </c>
      <c r="D46" s="85"/>
    </row>
    <row r="47" spans="1:20" ht="15.75" customHeight="1">
      <c r="A47" s="5"/>
      <c r="B47" s="54" t="s">
        <v>27</v>
      </c>
      <c r="C47" s="55">
        <v>5352.65</v>
      </c>
      <c r="D47" s="85"/>
    </row>
    <row r="48" spans="1:20" ht="15.75" customHeight="1">
      <c r="A48" s="5"/>
      <c r="B48" s="61" t="s">
        <v>28</v>
      </c>
      <c r="C48" s="74">
        <f>SUM(C45:C47)</f>
        <v>43816508.439999998</v>
      </c>
      <c r="D48" s="85"/>
    </row>
    <row r="49" spans="1:4" ht="15.75" customHeight="1">
      <c r="A49" s="5"/>
      <c r="D49" s="85"/>
    </row>
    <row r="50" spans="1:4" ht="15.75" customHeight="1">
      <c r="A50" s="5"/>
      <c r="B50" s="78" t="s">
        <v>29</v>
      </c>
      <c r="C50" s="79">
        <f>C48+C42</f>
        <v>43876275.119999997</v>
      </c>
      <c r="D50" s="85"/>
    </row>
    <row r="51" spans="1:4" ht="15.75" customHeight="1">
      <c r="A51" s="5"/>
      <c r="B51" s="93"/>
      <c r="C51" s="85"/>
      <c r="D51" s="85"/>
    </row>
    <row r="52" spans="1:4" ht="15.75" customHeight="1">
      <c r="A52" s="5"/>
      <c r="B52" s="93"/>
      <c r="C52" s="85"/>
      <c r="D52" s="85"/>
    </row>
    <row r="53" spans="1:4" ht="15.75" customHeight="1">
      <c r="A53" s="5"/>
      <c r="B53" s="93"/>
      <c r="C53" s="85"/>
      <c r="D53" s="85"/>
    </row>
    <row r="54" spans="1:4" ht="15.75" customHeight="1">
      <c r="A54" s="5"/>
      <c r="B54" s="93"/>
      <c r="C54" s="85"/>
      <c r="D54" s="85"/>
    </row>
    <row r="55" spans="1:4" ht="15.75" customHeight="1">
      <c r="A55" s="5"/>
      <c r="B55" s="93"/>
      <c r="C55" s="85"/>
      <c r="D55" s="85"/>
    </row>
    <row r="56" spans="1:4" ht="15.75" customHeight="1">
      <c r="A56" s="5"/>
      <c r="B56" s="282" t="s">
        <v>30</v>
      </c>
      <c r="C56" s="282"/>
      <c r="D56" s="85"/>
    </row>
    <row r="57" spans="1:4" ht="15.75" customHeight="1">
      <c r="A57" s="5"/>
      <c r="B57" s="282" t="s">
        <v>42</v>
      </c>
      <c r="C57" s="282"/>
      <c r="D57" s="85"/>
    </row>
    <row r="58" spans="1:4" ht="15.75" customHeight="1">
      <c r="A58" s="5"/>
      <c r="B58" s="282" t="s">
        <v>43</v>
      </c>
      <c r="C58" s="282"/>
      <c r="D58" s="85"/>
    </row>
    <row r="59" spans="1:4" ht="15.75" customHeight="1">
      <c r="A59" s="5"/>
      <c r="B59" s="93"/>
      <c r="C59" s="85"/>
      <c r="D59" s="85"/>
    </row>
    <row r="60" spans="1:4" ht="15.75" customHeight="1">
      <c r="A60" s="5"/>
      <c r="B60" s="93"/>
      <c r="C60" s="85"/>
      <c r="D60" s="85"/>
    </row>
    <row r="61" spans="1:4" ht="15.75" customHeight="1">
      <c r="A61" s="5"/>
      <c r="B61" s="93"/>
      <c r="C61" s="85"/>
      <c r="D61" s="85"/>
    </row>
    <row r="62" spans="1:4" ht="15.75" customHeight="1">
      <c r="A62" s="5"/>
      <c r="B62" s="93"/>
      <c r="C62" s="85"/>
      <c r="D62" s="85"/>
    </row>
    <row r="63" spans="1:4" s="5" customFormat="1" ht="15.75" customHeight="1">
      <c r="B63" s="93"/>
      <c r="C63" s="85"/>
      <c r="D63" s="85"/>
    </row>
    <row r="64" spans="1:4" s="5" customFormat="1" ht="15.75" customHeight="1">
      <c r="B64" s="93"/>
      <c r="C64" s="85"/>
      <c r="D64" s="85"/>
    </row>
    <row r="65" spans="2:4" s="5" customFormat="1" ht="15.75" customHeight="1">
      <c r="B65" s="93"/>
      <c r="C65" s="85"/>
      <c r="D65" s="85"/>
    </row>
    <row r="66" spans="2:4" s="5" customFormat="1" ht="15.75" customHeight="1">
      <c r="B66" s="93"/>
      <c r="C66" s="85"/>
      <c r="D66" s="85"/>
    </row>
    <row r="67" spans="2:4" s="5" customFormat="1" ht="15.75" customHeight="1">
      <c r="B67" s="93"/>
      <c r="C67" s="85"/>
      <c r="D67" s="85"/>
    </row>
    <row r="68" spans="2:4" s="5" customFormat="1" ht="15.75" customHeight="1">
      <c r="B68" s="93"/>
      <c r="C68" s="85"/>
      <c r="D68" s="85"/>
    </row>
    <row r="69" spans="2:4" s="5" customFormat="1" ht="15.75" customHeight="1">
      <c r="B69" s="93"/>
      <c r="C69" s="85"/>
      <c r="D69" s="85"/>
    </row>
    <row r="70" spans="2:4" s="5" customFormat="1" ht="15.75" customHeight="1">
      <c r="B70" s="93"/>
      <c r="C70" s="85"/>
      <c r="D70" s="85"/>
    </row>
    <row r="71" spans="2:4" s="5" customFormat="1" ht="15.75" customHeight="1">
      <c r="B71" s="93"/>
      <c r="C71" s="85"/>
      <c r="D71" s="85"/>
    </row>
    <row r="72" spans="2:4" s="5" customFormat="1" ht="15.75" customHeight="1">
      <c r="B72" s="93"/>
      <c r="C72" s="85"/>
      <c r="D72" s="85"/>
    </row>
    <row r="73" spans="2:4" s="5" customFormat="1" ht="15.75" customHeight="1">
      <c r="B73" s="93"/>
      <c r="C73" s="85"/>
      <c r="D73" s="85"/>
    </row>
    <row r="74" spans="2:4" s="5" customFormat="1" ht="15.75" customHeight="1">
      <c r="B74" s="93"/>
      <c r="C74" s="85"/>
      <c r="D74" s="85"/>
    </row>
    <row r="75" spans="2:4" s="5" customFormat="1" ht="15.75" customHeight="1">
      <c r="B75" s="93"/>
      <c r="C75" s="85"/>
      <c r="D75" s="85"/>
    </row>
    <row r="76" spans="2:4" s="5" customFormat="1" ht="15.75" customHeight="1">
      <c r="B76" s="93"/>
      <c r="C76" s="85"/>
      <c r="D76" s="85"/>
    </row>
    <row r="77" spans="2:4" s="5" customFormat="1" ht="15.75" customHeight="1">
      <c r="B77" s="93"/>
      <c r="C77" s="85"/>
      <c r="D77" s="85"/>
    </row>
    <row r="78" spans="2:4" s="5" customFormat="1" ht="15.75" customHeight="1">
      <c r="B78" s="93"/>
      <c r="C78" s="85"/>
      <c r="D78" s="85"/>
    </row>
    <row r="79" spans="2:4" s="5" customFormat="1" ht="15.75" customHeight="1">
      <c r="B79" s="93"/>
      <c r="C79" s="85"/>
      <c r="D79" s="85"/>
    </row>
    <row r="80" spans="2:4" s="5" customFormat="1" ht="15.75" customHeight="1">
      <c r="B80" s="93"/>
      <c r="C80" s="85"/>
      <c r="D80" s="85"/>
    </row>
    <row r="81" spans="2:4" s="5" customFormat="1" ht="15.75" customHeight="1">
      <c r="B81" s="93"/>
      <c r="C81" s="85"/>
      <c r="D81" s="85"/>
    </row>
    <row r="82" spans="2:4" s="5" customFormat="1" ht="15.75" customHeight="1">
      <c r="B82" s="93"/>
      <c r="C82" s="85"/>
      <c r="D82" s="85"/>
    </row>
    <row r="83" spans="2:4" s="5" customFormat="1" ht="15.75" customHeight="1">
      <c r="B83" s="93"/>
      <c r="C83" s="85"/>
      <c r="D83" s="85"/>
    </row>
    <row r="84" spans="2:4" s="5" customFormat="1" ht="15.75" customHeight="1">
      <c r="B84" s="93"/>
      <c r="C84" s="85"/>
      <c r="D84" s="85"/>
    </row>
    <row r="85" spans="2:4" s="5" customFormat="1" ht="15.75" customHeight="1">
      <c r="B85" s="93"/>
      <c r="C85" s="85"/>
      <c r="D85" s="85"/>
    </row>
    <row r="86" spans="2:4" s="5" customFormat="1" ht="15.75" customHeight="1">
      <c r="B86" s="93"/>
      <c r="C86" s="85"/>
      <c r="D86" s="85"/>
    </row>
    <row r="87" spans="2:4" s="5" customFormat="1" ht="15.75" customHeight="1">
      <c r="B87" s="93"/>
      <c r="C87" s="85"/>
      <c r="D87" s="85"/>
    </row>
    <row r="88" spans="2:4" s="5" customFormat="1" ht="15.75" customHeight="1">
      <c r="B88" s="93"/>
      <c r="C88" s="85"/>
      <c r="D88" s="85"/>
    </row>
    <row r="89" spans="2:4" s="5" customFormat="1" ht="15.75" customHeight="1">
      <c r="B89" s="93"/>
      <c r="C89" s="85"/>
      <c r="D89" s="85"/>
    </row>
    <row r="90" spans="2:4" s="5" customFormat="1" ht="15.75" customHeight="1">
      <c r="B90" s="93"/>
      <c r="C90" s="85"/>
      <c r="D90" s="85"/>
    </row>
    <row r="91" spans="2:4" s="5" customFormat="1" ht="15.75" customHeight="1">
      <c r="B91" s="93"/>
      <c r="C91" s="85"/>
      <c r="D91" s="85"/>
    </row>
    <row r="92" spans="2:4" s="5" customFormat="1" ht="15.75" customHeight="1">
      <c r="B92" s="93"/>
      <c r="C92" s="85"/>
      <c r="D92" s="85"/>
    </row>
    <row r="93" spans="2:4" s="5" customFormat="1" ht="15.75" customHeight="1">
      <c r="B93" s="93"/>
      <c r="C93" s="85"/>
      <c r="D93" s="85"/>
    </row>
    <row r="94" spans="2:4" s="5" customFormat="1" ht="15.75" customHeight="1">
      <c r="B94" s="93"/>
      <c r="C94" s="85"/>
      <c r="D94" s="85"/>
    </row>
    <row r="95" spans="2:4" s="5" customFormat="1" ht="15.75" customHeight="1">
      <c r="B95" s="93"/>
      <c r="C95" s="85"/>
      <c r="D95" s="85"/>
    </row>
    <row r="96" spans="2:4" s="5" customFormat="1" ht="15.75" customHeight="1">
      <c r="B96" s="93"/>
      <c r="C96" s="85"/>
      <c r="D96" s="85"/>
    </row>
    <row r="97" spans="2:4" s="5" customFormat="1" ht="15.75" customHeight="1">
      <c r="B97" s="93"/>
      <c r="C97" s="85"/>
      <c r="D97" s="85"/>
    </row>
    <row r="98" spans="2:4" s="5" customFormat="1" ht="15.75" customHeight="1">
      <c r="B98" s="93"/>
      <c r="C98" s="85"/>
      <c r="D98" s="85"/>
    </row>
    <row r="99" spans="2:4" s="5" customFormat="1" ht="15.75" customHeight="1">
      <c r="B99" s="93"/>
      <c r="C99" s="85"/>
      <c r="D99" s="85"/>
    </row>
    <row r="100" spans="2:4" s="5" customFormat="1" ht="15.75" customHeight="1">
      <c r="B100" s="93"/>
      <c r="C100" s="85"/>
      <c r="D100" s="85"/>
    </row>
    <row r="101" spans="2:4" s="5" customFormat="1" ht="15.75" customHeight="1">
      <c r="B101" s="93"/>
      <c r="C101" s="85"/>
      <c r="D101" s="85"/>
    </row>
    <row r="102" spans="2:4" s="5" customFormat="1" ht="15.75" customHeight="1">
      <c r="B102" s="93"/>
      <c r="C102" s="85"/>
      <c r="D102" s="85"/>
    </row>
    <row r="103" spans="2:4" s="5" customFormat="1" ht="15.75" customHeight="1">
      <c r="B103" s="93"/>
      <c r="C103" s="85"/>
      <c r="D103" s="85"/>
    </row>
    <row r="104" spans="2:4" s="5" customFormat="1" ht="15.75" customHeight="1">
      <c r="B104" s="93"/>
      <c r="C104" s="85"/>
      <c r="D104" s="85"/>
    </row>
    <row r="105" spans="2:4" s="5" customFormat="1" ht="15.75" customHeight="1">
      <c r="B105" s="93"/>
      <c r="C105" s="85"/>
      <c r="D105" s="85"/>
    </row>
    <row r="106" spans="2:4" s="5" customFormat="1" ht="15.75" customHeight="1">
      <c r="B106" s="93"/>
      <c r="C106" s="85"/>
      <c r="D106" s="85"/>
    </row>
    <row r="107" spans="2:4" s="5" customFormat="1" ht="15.75" customHeight="1">
      <c r="B107" s="93"/>
      <c r="C107" s="85"/>
      <c r="D107" s="85"/>
    </row>
    <row r="108" spans="2:4" s="5" customFormat="1" ht="15.75" customHeight="1">
      <c r="B108" s="93"/>
      <c r="C108" s="85"/>
      <c r="D108" s="85"/>
    </row>
    <row r="109" spans="2:4" s="5" customFormat="1" ht="15.75" customHeight="1">
      <c r="B109" s="93"/>
      <c r="C109" s="85"/>
      <c r="D109" s="85"/>
    </row>
    <row r="110" spans="2:4" s="5" customFormat="1" ht="15.75" customHeight="1">
      <c r="B110" s="93"/>
      <c r="C110" s="85"/>
      <c r="D110" s="85"/>
    </row>
    <row r="111" spans="2:4" s="5" customFormat="1" ht="15.75" customHeight="1">
      <c r="B111" s="93"/>
      <c r="C111" s="85"/>
      <c r="D111" s="85"/>
    </row>
    <row r="112" spans="2:4" s="5" customFormat="1" ht="15.75" customHeight="1">
      <c r="B112" s="93"/>
      <c r="C112" s="85"/>
      <c r="D112" s="85"/>
    </row>
    <row r="113" spans="2:4" s="5" customFormat="1" ht="15.75" customHeight="1">
      <c r="B113" s="93"/>
      <c r="C113" s="85"/>
      <c r="D113" s="85"/>
    </row>
    <row r="114" spans="2:4" s="5" customFormat="1" ht="15.75" customHeight="1">
      <c r="B114" s="93"/>
      <c r="C114" s="85"/>
      <c r="D114" s="85"/>
    </row>
    <row r="115" spans="2:4" s="5" customFormat="1" ht="15.75" customHeight="1">
      <c r="B115" s="93"/>
      <c r="C115" s="85"/>
      <c r="D115" s="85"/>
    </row>
    <row r="116" spans="2:4" s="5" customFormat="1" ht="15.75" customHeight="1">
      <c r="B116" s="93"/>
      <c r="C116" s="85"/>
      <c r="D116" s="85"/>
    </row>
    <row r="117" spans="2:4" s="5" customFormat="1" ht="15.75" customHeight="1">
      <c r="B117" s="93"/>
      <c r="C117" s="85"/>
      <c r="D117" s="85"/>
    </row>
    <row r="118" spans="2:4" s="5" customFormat="1" ht="15.75" customHeight="1">
      <c r="B118" s="93"/>
      <c r="C118" s="85"/>
      <c r="D118" s="85"/>
    </row>
    <row r="119" spans="2:4" s="5" customFormat="1" ht="15.75" customHeight="1">
      <c r="B119" s="93"/>
      <c r="C119" s="85"/>
      <c r="D119" s="85"/>
    </row>
    <row r="120" spans="2:4" s="5" customFormat="1" ht="15.75" customHeight="1">
      <c r="B120" s="93"/>
      <c r="C120" s="85"/>
      <c r="D120" s="85"/>
    </row>
    <row r="121" spans="2:4" s="5" customFormat="1" ht="15.75" customHeight="1">
      <c r="B121" s="93"/>
      <c r="C121" s="85"/>
      <c r="D121" s="85"/>
    </row>
    <row r="122" spans="2:4" s="5" customFormat="1" ht="15.75" customHeight="1">
      <c r="B122" s="93"/>
      <c r="C122" s="85"/>
      <c r="D122" s="85"/>
    </row>
    <row r="123" spans="2:4" s="5" customFormat="1" ht="15.75" customHeight="1">
      <c r="B123" s="93"/>
      <c r="C123" s="85"/>
      <c r="D123" s="85"/>
    </row>
    <row r="124" spans="2:4" s="5" customFormat="1" ht="15.75" customHeight="1">
      <c r="B124" s="93"/>
      <c r="C124" s="85"/>
      <c r="D124" s="85"/>
    </row>
    <row r="125" spans="2:4" s="5" customFormat="1" ht="15.75" customHeight="1">
      <c r="B125" s="93"/>
      <c r="C125" s="85"/>
      <c r="D125" s="85"/>
    </row>
    <row r="126" spans="2:4" s="5" customFormat="1" ht="15.75" customHeight="1">
      <c r="B126" s="93"/>
      <c r="C126" s="85"/>
      <c r="D126" s="85"/>
    </row>
    <row r="127" spans="2:4" s="5" customFormat="1" ht="15.75" customHeight="1">
      <c r="B127" s="93"/>
      <c r="C127" s="85"/>
      <c r="D127" s="85"/>
    </row>
    <row r="128" spans="2:4" s="5" customFormat="1" ht="15.75" customHeight="1">
      <c r="B128" s="93"/>
      <c r="C128" s="85"/>
      <c r="D128" s="85"/>
    </row>
    <row r="129" spans="2:4" s="5" customFormat="1" ht="15.75" customHeight="1">
      <c r="B129" s="93"/>
      <c r="C129" s="85"/>
      <c r="D129" s="85"/>
    </row>
    <row r="130" spans="2:4" s="5" customFormat="1" ht="15.75" customHeight="1">
      <c r="B130" s="93"/>
      <c r="C130" s="85"/>
      <c r="D130" s="85"/>
    </row>
    <row r="131" spans="2:4" s="5" customFormat="1" ht="15.75" customHeight="1">
      <c r="B131" s="93"/>
      <c r="C131" s="85"/>
      <c r="D131" s="85"/>
    </row>
    <row r="132" spans="2:4" s="5" customFormat="1" ht="15.75" customHeight="1">
      <c r="B132" s="93"/>
      <c r="C132" s="85"/>
      <c r="D132" s="85"/>
    </row>
    <row r="133" spans="2:4" s="5" customFormat="1" ht="15.75" customHeight="1">
      <c r="B133" s="93"/>
      <c r="C133" s="85"/>
      <c r="D133" s="85"/>
    </row>
    <row r="134" spans="2:4" s="5" customFormat="1" ht="15.75" customHeight="1">
      <c r="B134" s="93"/>
      <c r="C134" s="85"/>
      <c r="D134" s="85"/>
    </row>
    <row r="135" spans="2:4" s="5" customFormat="1" ht="15.75" customHeight="1">
      <c r="B135" s="93"/>
      <c r="C135" s="85"/>
      <c r="D135" s="85"/>
    </row>
    <row r="136" spans="2:4" s="5" customFormat="1" ht="15.75" customHeight="1">
      <c r="B136" s="93"/>
      <c r="C136" s="85"/>
      <c r="D136" s="85"/>
    </row>
    <row r="137" spans="2:4" s="5" customFormat="1" ht="15.75" customHeight="1">
      <c r="B137" s="93"/>
      <c r="C137" s="85"/>
      <c r="D137" s="85"/>
    </row>
    <row r="138" spans="2:4" s="5" customFormat="1" ht="15.75" customHeight="1">
      <c r="B138" s="93"/>
      <c r="C138" s="85"/>
      <c r="D138" s="85"/>
    </row>
    <row r="139" spans="2:4" s="5" customFormat="1" ht="15.75" customHeight="1">
      <c r="B139" s="93"/>
      <c r="C139" s="85"/>
      <c r="D139" s="85"/>
    </row>
    <row r="140" spans="2:4" s="5" customFormat="1" ht="15.75" customHeight="1">
      <c r="B140" s="93"/>
      <c r="C140" s="85"/>
      <c r="D140" s="85"/>
    </row>
    <row r="141" spans="2:4" s="5" customFormat="1" ht="15.75" customHeight="1">
      <c r="B141" s="93"/>
      <c r="C141" s="85"/>
      <c r="D141" s="85"/>
    </row>
    <row r="142" spans="2:4" s="5" customFormat="1" ht="15.75" customHeight="1">
      <c r="B142" s="93"/>
      <c r="C142" s="85"/>
      <c r="D142" s="85"/>
    </row>
    <row r="143" spans="2:4" s="5" customFormat="1" ht="15.75" customHeight="1">
      <c r="B143" s="93"/>
      <c r="C143" s="85"/>
      <c r="D143" s="85"/>
    </row>
    <row r="144" spans="2:4" s="5" customFormat="1" ht="15.75" customHeight="1">
      <c r="B144" s="93"/>
      <c r="C144" s="85"/>
      <c r="D144" s="85"/>
    </row>
    <row r="145" spans="2:4" s="5" customFormat="1" ht="15.75" customHeight="1">
      <c r="B145" s="93"/>
      <c r="C145" s="85"/>
      <c r="D145" s="85"/>
    </row>
    <row r="146" spans="2:4" s="5" customFormat="1" ht="15.75" customHeight="1">
      <c r="B146" s="93"/>
      <c r="C146" s="85"/>
      <c r="D146" s="85"/>
    </row>
    <row r="147" spans="2:4" s="5" customFormat="1" ht="15.75" customHeight="1">
      <c r="B147" s="93"/>
      <c r="C147" s="85"/>
      <c r="D147" s="85"/>
    </row>
    <row r="148" spans="2:4" s="5" customFormat="1" ht="15.75" customHeight="1">
      <c r="B148" s="93"/>
      <c r="C148" s="85"/>
      <c r="D148" s="85"/>
    </row>
    <row r="149" spans="2:4" s="5" customFormat="1" ht="15.75" customHeight="1">
      <c r="B149" s="93"/>
      <c r="C149" s="85"/>
      <c r="D149" s="85"/>
    </row>
    <row r="150" spans="2:4" s="5" customFormat="1" ht="15.75" customHeight="1">
      <c r="B150" s="93"/>
      <c r="C150" s="85"/>
      <c r="D150" s="85"/>
    </row>
    <row r="151" spans="2:4" s="5" customFormat="1" ht="15.75" customHeight="1">
      <c r="B151" s="93"/>
      <c r="C151" s="85"/>
      <c r="D151" s="85"/>
    </row>
    <row r="152" spans="2:4" s="5" customFormat="1" ht="15.75" customHeight="1">
      <c r="B152" s="93"/>
      <c r="C152" s="85"/>
      <c r="D152" s="85"/>
    </row>
    <row r="153" spans="2:4" s="5" customFormat="1" ht="15.75" customHeight="1">
      <c r="B153" s="93"/>
      <c r="C153" s="85"/>
      <c r="D153" s="85"/>
    </row>
    <row r="154" spans="2:4" s="5" customFormat="1" ht="15.75" customHeight="1">
      <c r="B154" s="93"/>
      <c r="C154" s="85"/>
      <c r="D154" s="85"/>
    </row>
    <row r="155" spans="2:4" s="5" customFormat="1" ht="15.75" customHeight="1">
      <c r="B155" s="93"/>
      <c r="C155" s="85"/>
      <c r="D155" s="85"/>
    </row>
    <row r="156" spans="2:4" s="5" customFormat="1" ht="15.75" customHeight="1">
      <c r="B156" s="93"/>
      <c r="C156" s="85"/>
      <c r="D156" s="85"/>
    </row>
    <row r="157" spans="2:4" s="5" customFormat="1" ht="15.75" customHeight="1">
      <c r="B157" s="93"/>
      <c r="C157" s="85"/>
      <c r="D157" s="85"/>
    </row>
    <row r="158" spans="2:4" s="5" customFormat="1" ht="15.75" customHeight="1">
      <c r="B158" s="93"/>
      <c r="C158" s="85"/>
      <c r="D158" s="85"/>
    </row>
    <row r="159" spans="2:4" s="5" customFormat="1" ht="15.75" customHeight="1">
      <c r="B159" s="93"/>
      <c r="C159" s="85"/>
      <c r="D159" s="85"/>
    </row>
    <row r="160" spans="2:4" s="5" customFormat="1" ht="15.75" customHeight="1">
      <c r="B160" s="93"/>
      <c r="C160" s="85"/>
      <c r="D160" s="85"/>
    </row>
    <row r="161" spans="2:4" s="5" customFormat="1" ht="15.75" customHeight="1">
      <c r="B161" s="93"/>
      <c r="C161" s="85"/>
      <c r="D161" s="85"/>
    </row>
  </sheetData>
  <mergeCells count="12">
    <mergeCell ref="H1:J1"/>
    <mergeCell ref="B6:D6"/>
    <mergeCell ref="B7:B8"/>
    <mergeCell ref="H13:J13"/>
    <mergeCell ref="B22:B23"/>
    <mergeCell ref="C22:C23"/>
    <mergeCell ref="D22:D23"/>
    <mergeCell ref="B34:B35"/>
    <mergeCell ref="C34:C35"/>
    <mergeCell ref="B56:C56"/>
    <mergeCell ref="B57:C57"/>
    <mergeCell ref="B58:C58"/>
  </mergeCell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J161"/>
  <sheetViews>
    <sheetView workbookViewId="0">
      <selection activeCell="B12" sqref="B12"/>
    </sheetView>
  </sheetViews>
  <sheetFormatPr defaultRowHeight="15.75" customHeight="1"/>
  <cols>
    <col min="1" max="1" width="1.42578125" style="6" customWidth="1"/>
    <col min="2" max="2" width="60.5703125" style="99" customWidth="1"/>
    <col min="3" max="3" width="15.140625" style="100" customWidth="1"/>
    <col min="4" max="4" width="14.7109375" style="105" customWidth="1"/>
    <col min="5" max="20" width="9.5703125" style="5" customWidth="1"/>
    <col min="21" max="1024" width="9.42578125" style="6" customWidth="1"/>
  </cols>
  <sheetData>
    <row r="1" spans="1:20" ht="15.75" customHeight="1">
      <c r="A1" s="5"/>
      <c r="B1" s="80"/>
      <c r="C1" s="81"/>
      <c r="D1" s="101"/>
    </row>
    <row r="2" spans="1:20" ht="15.75" customHeight="1">
      <c r="A2" s="5"/>
      <c r="B2" s="84"/>
      <c r="C2" s="85"/>
      <c r="D2" s="102"/>
    </row>
    <row r="3" spans="1:20" ht="15.75" customHeight="1">
      <c r="A3" s="5"/>
      <c r="B3" s="84"/>
      <c r="C3" s="85"/>
      <c r="D3" s="102"/>
    </row>
    <row r="4" spans="1:20" ht="15.75" customHeight="1">
      <c r="A4" s="5"/>
      <c r="B4" s="84"/>
      <c r="C4" s="85"/>
      <c r="D4" s="102"/>
    </row>
    <row r="5" spans="1:20" ht="15.75" customHeight="1">
      <c r="A5" s="5"/>
      <c r="B5" s="88"/>
      <c r="C5" s="89"/>
      <c r="D5" s="103"/>
    </row>
    <row r="6" spans="1:20" s="20" customFormat="1" ht="24.95" customHeight="1">
      <c r="A6" s="19"/>
      <c r="B6" s="278" t="s">
        <v>0</v>
      </c>
      <c r="C6" s="278"/>
      <c r="D6" s="27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9" t="s">
        <v>1</v>
      </c>
      <c r="C7" s="59" t="s">
        <v>61</v>
      </c>
      <c r="D7" s="60" t="s">
        <v>62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9"/>
      <c r="C8" s="60" t="s">
        <v>2</v>
      </c>
      <c r="D8" s="60" t="s">
        <v>2</v>
      </c>
    </row>
    <row r="9" spans="1:20" ht="17.100000000000001" customHeight="1">
      <c r="A9" s="5"/>
      <c r="B9" s="54" t="s">
        <v>3</v>
      </c>
      <c r="C9" s="24">
        <v>476216.33</v>
      </c>
      <c r="D9" s="94">
        <f>'ABRIL 2021'!D9+'ABRIL 2021'!C9</f>
        <v>2105487.21</v>
      </c>
    </row>
    <row r="10" spans="1:20" ht="17.100000000000001" customHeight="1">
      <c r="A10" s="5"/>
      <c r="B10" s="54" t="s">
        <v>4</v>
      </c>
      <c r="C10" s="55">
        <v>303046.75</v>
      </c>
      <c r="D10" s="94">
        <f>'ABRIL 2021'!C10+'ABRIL 2021'!D10</f>
        <v>1177468.6100000001</v>
      </c>
    </row>
    <row r="11" spans="1:20" ht="17.100000000000001" customHeight="1">
      <c r="A11" s="5"/>
      <c r="B11" s="54" t="s">
        <v>134</v>
      </c>
      <c r="C11" s="55">
        <v>126693.92</v>
      </c>
      <c r="D11" s="94">
        <f>'ABRIL 2021'!C11+'ABRIL 2021'!D11</f>
        <v>568899.83999999997</v>
      </c>
    </row>
    <row r="12" spans="1:20" ht="17.100000000000001" customHeight="1">
      <c r="A12" s="5"/>
      <c r="B12" s="54" t="s">
        <v>6</v>
      </c>
      <c r="C12" s="55">
        <v>286170.09000000003</v>
      </c>
      <c r="D12" s="94">
        <f>'ABRIL 2021'!C12+'ABRIL 2021'!D12</f>
        <v>-234494.12999999995</v>
      </c>
    </row>
    <row r="13" spans="1:20" ht="17.100000000000001" customHeight="1">
      <c r="A13" s="5"/>
      <c r="B13" s="54" t="s">
        <v>63</v>
      </c>
      <c r="C13" s="55">
        <v>50995.21</v>
      </c>
      <c r="D13" s="94">
        <f>'ABRIL 2021'!D13+'ABRIL 2021'!C13</f>
        <v>199260.91999999998</v>
      </c>
    </row>
    <row r="14" spans="1:20" ht="17.100000000000001" customHeight="1">
      <c r="A14" s="5"/>
      <c r="B14" s="54" t="s">
        <v>64</v>
      </c>
      <c r="C14" s="55">
        <v>21330.77</v>
      </c>
      <c r="D14" s="94">
        <f>'ABRIL 2021'!D14+'ABRIL 2021'!C14</f>
        <v>82803.8</v>
      </c>
    </row>
    <row r="15" spans="1:20" ht="17.100000000000001" customHeight="1">
      <c r="A15" s="5"/>
      <c r="B15" s="54" t="s">
        <v>65</v>
      </c>
      <c r="C15" s="55">
        <v>10479.35</v>
      </c>
      <c r="D15" s="94">
        <f>'ABRIL 2021'!D15+'ABRIL 2021'!C15</f>
        <v>40679.97</v>
      </c>
    </row>
    <row r="16" spans="1:20" ht="17.100000000000001" customHeight="1">
      <c r="A16" s="5"/>
      <c r="B16" s="54" t="s">
        <v>66</v>
      </c>
      <c r="C16" s="55">
        <v>4368.88</v>
      </c>
      <c r="D16" s="94">
        <f>'ABRIL 2021'!D16+'ABRIL 2021'!C16</f>
        <v>16959.650000000001</v>
      </c>
    </row>
    <row r="17" spans="1:20" ht="17.100000000000001" customHeight="1">
      <c r="A17" s="5"/>
      <c r="B17" s="54" t="s">
        <v>67</v>
      </c>
      <c r="C17" s="55">
        <v>14966.61</v>
      </c>
      <c r="D17" s="94">
        <f>'ABRIL 2021'!D17+'ABRIL 2021'!C17</f>
        <v>14939</v>
      </c>
    </row>
    <row r="18" spans="1:20" ht="17.100000000000001" customHeight="1">
      <c r="A18" s="5"/>
      <c r="B18" s="54" t="s">
        <v>7</v>
      </c>
      <c r="C18" s="55">
        <v>11365.55</v>
      </c>
      <c r="D18" s="94">
        <f>'ABRIL 2021'!D18+'ABRIL 2021'!C18</f>
        <v>34096.649999999994</v>
      </c>
    </row>
    <row r="19" spans="1:20" ht="17.100000000000001" customHeight="1">
      <c r="A19" s="5"/>
      <c r="B19" s="54" t="s">
        <v>8</v>
      </c>
      <c r="C19" s="55">
        <v>0</v>
      </c>
      <c r="D19" s="94">
        <v>0</v>
      </c>
    </row>
    <row r="20" spans="1:20" s="20" customFormat="1" ht="15.75" customHeight="1">
      <c r="A20" s="19"/>
      <c r="B20" s="56" t="s">
        <v>9</v>
      </c>
      <c r="C20" s="57">
        <f>SUM(C9:C19)</f>
        <v>1305633.4600000002</v>
      </c>
      <c r="D20" s="57">
        <f>SUM(D9:D19)</f>
        <v>4006101.52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</row>
    <row r="22" spans="1:20" s="20" customFormat="1" ht="15.75" customHeight="1">
      <c r="A22" s="19"/>
      <c r="B22" s="279" t="s">
        <v>10</v>
      </c>
      <c r="C22" s="280" t="s">
        <v>61</v>
      </c>
      <c r="D22" s="281" t="str">
        <f>D7</f>
        <v>JAN A ABR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9"/>
      <c r="C23" s="280"/>
      <c r="D23" s="281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</row>
    <row r="25" spans="1:20" ht="17.100000000000001" customHeight="1">
      <c r="A25" s="5"/>
      <c r="B25" s="54" t="s">
        <v>68</v>
      </c>
      <c r="C25" s="55">
        <v>654689.87</v>
      </c>
      <c r="D25" s="94">
        <f>2298620.36-C25</f>
        <v>1643930.4899999998</v>
      </c>
    </row>
    <row r="26" spans="1:20" ht="17.100000000000001" customHeight="1">
      <c r="A26" s="5"/>
      <c r="B26" s="54" t="s">
        <v>39</v>
      </c>
      <c r="C26" s="55">
        <v>83982.18</v>
      </c>
      <c r="D26" s="94">
        <f>307320.62-C26</f>
        <v>223338.44</v>
      </c>
    </row>
    <row r="27" spans="1:20" ht="17.100000000000001" customHeight="1">
      <c r="A27" s="5"/>
      <c r="B27" s="54" t="s">
        <v>12</v>
      </c>
      <c r="C27" s="63">
        <v>28632.33</v>
      </c>
      <c r="D27" s="94">
        <f>133165.35-C27</f>
        <v>104533.02</v>
      </c>
    </row>
    <row r="28" spans="1:20" ht="17.100000000000001" customHeight="1">
      <c r="A28" s="5"/>
      <c r="B28" s="54" t="s">
        <v>13</v>
      </c>
      <c r="C28" s="55">
        <v>1159.6500000000001</v>
      </c>
      <c r="D28" s="94">
        <f>1159.65*4</f>
        <v>4638.6000000000004</v>
      </c>
    </row>
    <row r="29" spans="1:20" ht="17.100000000000001" customHeight="1">
      <c r="A29" s="5"/>
      <c r="B29" s="54" t="s">
        <v>41</v>
      </c>
      <c r="C29" s="63">
        <f>802598.42-C25-C26-C27</f>
        <v>35294.040000000052</v>
      </c>
      <c r="D29" s="94">
        <v>81622.820000000007</v>
      </c>
    </row>
    <row r="30" spans="1:20" s="20" customFormat="1" ht="17.100000000000001" customHeight="1">
      <c r="A30" s="19"/>
      <c r="B30" s="64" t="s">
        <v>9</v>
      </c>
      <c r="C30" s="65">
        <f>SUM(C25:C29)</f>
        <v>803758.07000000007</v>
      </c>
      <c r="D30" s="65">
        <f>SUM(D25:D29)</f>
        <v>2058063.3699999999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501875.39000000013</v>
      </c>
      <c r="D31" s="68">
        <f>D20-D30</f>
        <v>1948038.1500000001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9" t="s">
        <v>16</v>
      </c>
      <c r="C34" s="281" t="s">
        <v>61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9"/>
      <c r="C35" s="281"/>
      <c r="D35" s="96"/>
    </row>
    <row r="36" spans="1:20" ht="15.75" customHeight="1">
      <c r="A36" s="5"/>
      <c r="B36" s="72" t="s">
        <v>17</v>
      </c>
      <c r="C36" s="97" t="s">
        <v>2</v>
      </c>
      <c r="D36" s="96"/>
    </row>
    <row r="37" spans="1:20" ht="15.75" customHeight="1">
      <c r="A37" s="5"/>
      <c r="B37" s="54" t="s">
        <v>18</v>
      </c>
      <c r="C37" s="55">
        <v>0</v>
      </c>
      <c r="D37" s="96"/>
    </row>
    <row r="38" spans="1:20" ht="15.75" customHeight="1">
      <c r="A38" s="5"/>
      <c r="B38" s="54" t="s">
        <v>19</v>
      </c>
      <c r="C38" s="55">
        <v>0</v>
      </c>
      <c r="D38" s="96"/>
    </row>
    <row r="39" spans="1:20" ht="15.75" customHeight="1">
      <c r="A39" s="5"/>
      <c r="B39" s="54" t="s">
        <v>20</v>
      </c>
      <c r="C39" s="55">
        <v>58875.12</v>
      </c>
      <c r="D39" s="96"/>
    </row>
    <row r="40" spans="1:20" ht="15.75" customHeight="1">
      <c r="A40" s="5"/>
      <c r="B40" s="54" t="s">
        <v>21</v>
      </c>
      <c r="C40" s="55">
        <v>14717.36</v>
      </c>
      <c r="D40" s="96"/>
    </row>
    <row r="41" spans="1:20" ht="15.75" customHeight="1">
      <c r="A41" s="5"/>
      <c r="B41" s="54" t="s">
        <v>22</v>
      </c>
      <c r="C41" s="55">
        <v>316.82</v>
      </c>
      <c r="D41" s="96"/>
    </row>
    <row r="42" spans="1:20" ht="15.75" customHeight="1">
      <c r="A42" s="5"/>
      <c r="B42" s="61" t="s">
        <v>23</v>
      </c>
      <c r="C42" s="74">
        <f>SUM(C37:C41)</f>
        <v>73909.300000000017</v>
      </c>
      <c r="D42" s="96"/>
    </row>
    <row r="43" spans="1:20" ht="15.75" customHeight="1">
      <c r="A43" s="5"/>
      <c r="B43" s="93"/>
      <c r="C43" s="85"/>
      <c r="D43" s="96"/>
    </row>
    <row r="44" spans="1:20" ht="15.75" customHeight="1">
      <c r="A44" s="5"/>
      <c r="B44" s="61" t="s">
        <v>24</v>
      </c>
      <c r="C44" s="98" t="s">
        <v>2</v>
      </c>
      <c r="D44" s="96"/>
    </row>
    <row r="45" spans="1:20" ht="15.75" customHeight="1">
      <c r="A45" s="5"/>
      <c r="B45" s="54" t="s">
        <v>25</v>
      </c>
      <c r="C45" s="55">
        <v>33680358.670000002</v>
      </c>
      <c r="D45" s="96"/>
    </row>
    <row r="46" spans="1:20" ht="15.75" customHeight="1">
      <c r="A46" s="5"/>
      <c r="B46" s="54" t="s">
        <v>26</v>
      </c>
      <c r="C46" s="55">
        <v>10631420.93</v>
      </c>
      <c r="D46" s="96"/>
    </row>
    <row r="47" spans="1:20" ht="15.75" customHeight="1">
      <c r="A47" s="5"/>
      <c r="B47" s="54" t="s">
        <v>27</v>
      </c>
      <c r="C47" s="55">
        <v>5453.35</v>
      </c>
      <c r="D47" s="96"/>
    </row>
    <row r="48" spans="1:20" ht="15.75" customHeight="1">
      <c r="A48" s="5"/>
      <c r="B48" s="61" t="s">
        <v>28</v>
      </c>
      <c r="C48" s="74">
        <f>SUM(C45:C47)</f>
        <v>44317232.950000003</v>
      </c>
      <c r="D48" s="96"/>
    </row>
    <row r="49" spans="1:4" ht="15.75" customHeight="1">
      <c r="A49" s="5"/>
      <c r="D49" s="96"/>
    </row>
    <row r="50" spans="1:4" ht="15.75" customHeight="1">
      <c r="A50" s="5"/>
      <c r="B50" s="78" t="s">
        <v>29</v>
      </c>
      <c r="C50" s="79">
        <f>C48+C42</f>
        <v>44391142.25</v>
      </c>
      <c r="D50" s="96"/>
    </row>
    <row r="51" spans="1:4" ht="15.75" customHeight="1">
      <c r="A51" s="5"/>
      <c r="B51" s="93"/>
      <c r="C51" s="85"/>
      <c r="D51" s="96"/>
    </row>
    <row r="52" spans="1:4" ht="15.75" customHeight="1">
      <c r="A52" s="5"/>
      <c r="B52" s="93"/>
      <c r="C52" s="85"/>
      <c r="D52" s="96"/>
    </row>
    <row r="53" spans="1:4" ht="15.75" customHeight="1">
      <c r="A53" s="5"/>
      <c r="B53" s="93"/>
      <c r="C53" s="85"/>
      <c r="D53" s="96"/>
    </row>
    <row r="54" spans="1:4" ht="15.75" customHeight="1">
      <c r="A54" s="5"/>
      <c r="B54" s="93"/>
      <c r="C54" s="85"/>
      <c r="D54" s="96"/>
    </row>
    <row r="55" spans="1:4" ht="15.75" customHeight="1">
      <c r="A55" s="5"/>
      <c r="B55" s="93"/>
      <c r="C55" s="85"/>
      <c r="D55" s="96"/>
    </row>
    <row r="56" spans="1:4" ht="15.75" customHeight="1">
      <c r="A56" s="5"/>
      <c r="B56" s="282" t="s">
        <v>30</v>
      </c>
      <c r="C56" s="282"/>
      <c r="D56" s="96"/>
    </row>
    <row r="57" spans="1:4" ht="15.75" customHeight="1">
      <c r="A57" s="5"/>
      <c r="B57" s="282" t="s">
        <v>42</v>
      </c>
      <c r="C57" s="282"/>
      <c r="D57" s="96"/>
    </row>
    <row r="58" spans="1:4" ht="15.75" customHeight="1">
      <c r="A58" s="5"/>
      <c r="B58" s="282" t="s">
        <v>43</v>
      </c>
      <c r="C58" s="282"/>
      <c r="D58" s="96"/>
    </row>
    <row r="59" spans="1:4" ht="15.75" customHeight="1">
      <c r="A59" s="5"/>
      <c r="B59" s="93"/>
      <c r="C59" s="85"/>
      <c r="D59" s="96"/>
    </row>
    <row r="60" spans="1:4" ht="15.75" customHeight="1">
      <c r="A60" s="5"/>
      <c r="B60" s="93"/>
      <c r="C60" s="85"/>
      <c r="D60" s="96"/>
    </row>
    <row r="61" spans="1:4" ht="15.75" customHeight="1">
      <c r="A61" s="5"/>
      <c r="B61" s="93"/>
      <c r="C61" s="85"/>
      <c r="D61" s="96"/>
    </row>
    <row r="62" spans="1:4" ht="15.75" customHeight="1">
      <c r="A62" s="5"/>
      <c r="B62" s="93"/>
      <c r="C62" s="85"/>
      <c r="D62" s="96"/>
    </row>
    <row r="63" spans="1:4" s="5" customFormat="1" ht="15.75" customHeight="1">
      <c r="B63" s="93"/>
      <c r="C63" s="85"/>
      <c r="D63" s="96"/>
    </row>
    <row r="64" spans="1:4" s="5" customFormat="1" ht="15.75" customHeight="1">
      <c r="B64" s="93"/>
      <c r="C64" s="85"/>
      <c r="D64" s="96"/>
    </row>
    <row r="65" spans="2:4" s="5" customFormat="1" ht="15.75" customHeight="1">
      <c r="B65" s="93"/>
      <c r="C65" s="85"/>
      <c r="D65" s="96"/>
    </row>
    <row r="66" spans="2:4" s="5" customFormat="1" ht="15.75" customHeight="1">
      <c r="B66" s="93"/>
      <c r="C66" s="85"/>
      <c r="D66" s="96"/>
    </row>
    <row r="67" spans="2:4" s="5" customFormat="1" ht="15.75" customHeight="1">
      <c r="B67" s="93"/>
      <c r="C67" s="85"/>
      <c r="D67" s="96"/>
    </row>
    <row r="68" spans="2:4" s="5" customFormat="1" ht="15.75" customHeight="1">
      <c r="B68" s="93"/>
      <c r="C68" s="85"/>
      <c r="D68" s="96"/>
    </row>
    <row r="69" spans="2:4" s="5" customFormat="1" ht="15.75" customHeight="1">
      <c r="B69" s="93"/>
      <c r="C69" s="85"/>
      <c r="D69" s="96"/>
    </row>
    <row r="70" spans="2:4" s="5" customFormat="1" ht="15.75" customHeight="1">
      <c r="B70" s="93"/>
      <c r="C70" s="85"/>
      <c r="D70" s="96"/>
    </row>
    <row r="71" spans="2:4" s="5" customFormat="1" ht="15.75" customHeight="1">
      <c r="B71" s="93"/>
      <c r="C71" s="85"/>
      <c r="D71" s="96"/>
    </row>
    <row r="72" spans="2:4" s="5" customFormat="1" ht="15.75" customHeight="1">
      <c r="B72" s="93"/>
      <c r="C72" s="85"/>
      <c r="D72" s="96"/>
    </row>
    <row r="73" spans="2:4" s="5" customFormat="1" ht="15.75" customHeight="1">
      <c r="B73" s="93"/>
      <c r="C73" s="85"/>
      <c r="D73" s="96"/>
    </row>
    <row r="74" spans="2:4" s="5" customFormat="1" ht="15.75" customHeight="1">
      <c r="B74" s="93"/>
      <c r="C74" s="85"/>
      <c r="D74" s="96"/>
    </row>
    <row r="75" spans="2:4" s="5" customFormat="1" ht="15.75" customHeight="1">
      <c r="B75" s="93"/>
      <c r="C75" s="85"/>
      <c r="D75" s="96"/>
    </row>
    <row r="76" spans="2:4" s="5" customFormat="1" ht="15.75" customHeight="1">
      <c r="B76" s="93"/>
      <c r="C76" s="85"/>
      <c r="D76" s="96"/>
    </row>
    <row r="77" spans="2:4" s="5" customFormat="1" ht="15.75" customHeight="1">
      <c r="B77" s="93"/>
      <c r="C77" s="85"/>
      <c r="D77" s="96"/>
    </row>
    <row r="78" spans="2:4" s="5" customFormat="1" ht="15.75" customHeight="1">
      <c r="B78" s="93"/>
      <c r="C78" s="85"/>
      <c r="D78" s="96"/>
    </row>
    <row r="79" spans="2:4" s="5" customFormat="1" ht="15.75" customHeight="1">
      <c r="B79" s="93"/>
      <c r="C79" s="85"/>
      <c r="D79" s="96"/>
    </row>
    <row r="80" spans="2:4" s="5" customFormat="1" ht="15.75" customHeight="1">
      <c r="B80" s="93"/>
      <c r="C80" s="85"/>
      <c r="D80" s="96"/>
    </row>
    <row r="81" spans="2:4" s="5" customFormat="1" ht="15.75" customHeight="1">
      <c r="B81" s="93"/>
      <c r="C81" s="85"/>
      <c r="D81" s="96"/>
    </row>
    <row r="82" spans="2:4" s="5" customFormat="1" ht="15.75" customHeight="1">
      <c r="B82" s="93"/>
      <c r="C82" s="85"/>
      <c r="D82" s="96"/>
    </row>
    <row r="83" spans="2:4" s="5" customFormat="1" ht="15.75" customHeight="1">
      <c r="B83" s="93"/>
      <c r="C83" s="85"/>
      <c r="D83" s="96"/>
    </row>
    <row r="84" spans="2:4" s="5" customFormat="1" ht="15.75" customHeight="1">
      <c r="B84" s="93"/>
      <c r="C84" s="85"/>
      <c r="D84" s="96"/>
    </row>
    <row r="85" spans="2:4" s="5" customFormat="1" ht="15.75" customHeight="1">
      <c r="B85" s="93"/>
      <c r="C85" s="85"/>
      <c r="D85" s="96"/>
    </row>
    <row r="86" spans="2:4" s="5" customFormat="1" ht="15.75" customHeight="1">
      <c r="B86" s="93"/>
      <c r="C86" s="85"/>
      <c r="D86" s="96"/>
    </row>
    <row r="87" spans="2:4" s="5" customFormat="1" ht="15.75" customHeight="1">
      <c r="B87" s="93"/>
      <c r="C87" s="85"/>
      <c r="D87" s="96"/>
    </row>
    <row r="88" spans="2:4" s="5" customFormat="1" ht="15.75" customHeight="1">
      <c r="B88" s="93"/>
      <c r="C88" s="85"/>
      <c r="D88" s="96"/>
    </row>
    <row r="89" spans="2:4" s="5" customFormat="1" ht="15.75" customHeight="1">
      <c r="B89" s="93"/>
      <c r="C89" s="85"/>
      <c r="D89" s="96"/>
    </row>
    <row r="90" spans="2:4" s="5" customFormat="1" ht="15.75" customHeight="1">
      <c r="B90" s="93"/>
      <c r="C90" s="85"/>
      <c r="D90" s="96"/>
    </row>
    <row r="91" spans="2:4" s="5" customFormat="1" ht="15.75" customHeight="1">
      <c r="B91" s="93"/>
      <c r="C91" s="85"/>
      <c r="D91" s="96"/>
    </row>
    <row r="92" spans="2:4" s="5" customFormat="1" ht="15.75" customHeight="1">
      <c r="B92" s="93"/>
      <c r="C92" s="85"/>
      <c r="D92" s="96"/>
    </row>
    <row r="93" spans="2:4" s="5" customFormat="1" ht="15.75" customHeight="1">
      <c r="B93" s="93"/>
      <c r="C93" s="85"/>
      <c r="D93" s="96"/>
    </row>
    <row r="94" spans="2:4" s="5" customFormat="1" ht="15.75" customHeight="1">
      <c r="B94" s="93"/>
      <c r="C94" s="85"/>
      <c r="D94" s="96"/>
    </row>
    <row r="95" spans="2:4" s="5" customFormat="1" ht="15.75" customHeight="1">
      <c r="B95" s="93"/>
      <c r="C95" s="85"/>
      <c r="D95" s="96"/>
    </row>
    <row r="96" spans="2:4" s="5" customFormat="1" ht="15.75" customHeight="1">
      <c r="B96" s="93"/>
      <c r="C96" s="85"/>
      <c r="D96" s="96"/>
    </row>
    <row r="97" spans="2:4" s="5" customFormat="1" ht="15.75" customHeight="1">
      <c r="B97" s="93"/>
      <c r="C97" s="85"/>
      <c r="D97" s="96"/>
    </row>
    <row r="98" spans="2:4" s="5" customFormat="1" ht="15.75" customHeight="1">
      <c r="B98" s="93"/>
      <c r="C98" s="85"/>
      <c r="D98" s="96"/>
    </row>
    <row r="99" spans="2:4" s="5" customFormat="1" ht="15.75" customHeight="1">
      <c r="B99" s="93"/>
      <c r="C99" s="85"/>
      <c r="D99" s="96"/>
    </row>
    <row r="100" spans="2:4" s="5" customFormat="1" ht="15.75" customHeight="1">
      <c r="B100" s="93"/>
      <c r="C100" s="85"/>
      <c r="D100" s="96"/>
    </row>
    <row r="101" spans="2:4" s="5" customFormat="1" ht="15.75" customHeight="1">
      <c r="B101" s="93"/>
      <c r="C101" s="85"/>
      <c r="D101" s="96"/>
    </row>
    <row r="102" spans="2:4" s="5" customFormat="1" ht="15.75" customHeight="1">
      <c r="B102" s="93"/>
      <c r="C102" s="85"/>
      <c r="D102" s="96"/>
    </row>
    <row r="103" spans="2:4" s="5" customFormat="1" ht="15.75" customHeight="1">
      <c r="B103" s="93"/>
      <c r="C103" s="85"/>
      <c r="D103" s="96"/>
    </row>
    <row r="104" spans="2:4" s="5" customFormat="1" ht="15.75" customHeight="1">
      <c r="B104" s="93"/>
      <c r="C104" s="85"/>
      <c r="D104" s="96"/>
    </row>
    <row r="105" spans="2:4" s="5" customFormat="1" ht="15.75" customHeight="1">
      <c r="B105" s="93"/>
      <c r="C105" s="85"/>
      <c r="D105" s="96"/>
    </row>
    <row r="106" spans="2:4" s="5" customFormat="1" ht="15.75" customHeight="1">
      <c r="B106" s="93"/>
      <c r="C106" s="85"/>
      <c r="D106" s="96"/>
    </row>
    <row r="107" spans="2:4" s="5" customFormat="1" ht="15.75" customHeight="1">
      <c r="B107" s="93"/>
      <c r="C107" s="85"/>
      <c r="D107" s="96"/>
    </row>
    <row r="108" spans="2:4" s="5" customFormat="1" ht="15.75" customHeight="1">
      <c r="B108" s="93"/>
      <c r="C108" s="85"/>
      <c r="D108" s="96"/>
    </row>
    <row r="109" spans="2:4" s="5" customFormat="1" ht="15.75" customHeight="1">
      <c r="B109" s="93"/>
      <c r="C109" s="85"/>
      <c r="D109" s="96"/>
    </row>
    <row r="110" spans="2:4" s="5" customFormat="1" ht="15.75" customHeight="1">
      <c r="B110" s="93"/>
      <c r="C110" s="85"/>
      <c r="D110" s="96"/>
    </row>
    <row r="111" spans="2:4" s="5" customFormat="1" ht="15.75" customHeight="1">
      <c r="B111" s="93"/>
      <c r="C111" s="85"/>
      <c r="D111" s="96"/>
    </row>
    <row r="112" spans="2:4" s="5" customFormat="1" ht="15.75" customHeight="1">
      <c r="B112" s="93"/>
      <c r="C112" s="85"/>
      <c r="D112" s="96"/>
    </row>
    <row r="113" spans="2:4" s="5" customFormat="1" ht="15.75" customHeight="1">
      <c r="B113" s="93"/>
      <c r="C113" s="85"/>
      <c r="D113" s="96"/>
    </row>
    <row r="114" spans="2:4" s="5" customFormat="1" ht="15.75" customHeight="1">
      <c r="B114" s="93"/>
      <c r="C114" s="85"/>
      <c r="D114" s="96"/>
    </row>
    <row r="115" spans="2:4" s="5" customFormat="1" ht="15.75" customHeight="1">
      <c r="B115" s="93"/>
      <c r="C115" s="85"/>
      <c r="D115" s="96"/>
    </row>
    <row r="116" spans="2:4" s="5" customFormat="1" ht="15.75" customHeight="1">
      <c r="B116" s="93"/>
      <c r="C116" s="85"/>
      <c r="D116" s="96"/>
    </row>
    <row r="117" spans="2:4" s="5" customFormat="1" ht="15.75" customHeight="1">
      <c r="B117" s="93"/>
      <c r="C117" s="85"/>
      <c r="D117" s="96"/>
    </row>
    <row r="118" spans="2:4" s="5" customFormat="1" ht="15.75" customHeight="1">
      <c r="B118" s="93"/>
      <c r="C118" s="85"/>
      <c r="D118" s="96"/>
    </row>
    <row r="119" spans="2:4" s="5" customFormat="1" ht="15.75" customHeight="1">
      <c r="B119" s="93"/>
      <c r="C119" s="85"/>
      <c r="D119" s="96"/>
    </row>
    <row r="120" spans="2:4" s="5" customFormat="1" ht="15.75" customHeight="1">
      <c r="B120" s="93"/>
      <c r="C120" s="85"/>
      <c r="D120" s="96"/>
    </row>
    <row r="121" spans="2:4" s="5" customFormat="1" ht="15.75" customHeight="1">
      <c r="B121" s="93"/>
      <c r="C121" s="85"/>
      <c r="D121" s="96"/>
    </row>
    <row r="122" spans="2:4" s="5" customFormat="1" ht="15.75" customHeight="1">
      <c r="B122" s="93"/>
      <c r="C122" s="85"/>
      <c r="D122" s="96"/>
    </row>
    <row r="123" spans="2:4" s="5" customFormat="1" ht="15.75" customHeight="1">
      <c r="B123" s="93"/>
      <c r="C123" s="85"/>
      <c r="D123" s="96"/>
    </row>
    <row r="124" spans="2:4" s="5" customFormat="1" ht="15.75" customHeight="1">
      <c r="B124" s="93"/>
      <c r="C124" s="85"/>
      <c r="D124" s="96"/>
    </row>
    <row r="125" spans="2:4" s="5" customFormat="1" ht="15.75" customHeight="1">
      <c r="B125" s="93"/>
      <c r="C125" s="85"/>
      <c r="D125" s="96"/>
    </row>
    <row r="126" spans="2:4" s="5" customFormat="1" ht="15.75" customHeight="1">
      <c r="B126" s="93"/>
      <c r="C126" s="85"/>
      <c r="D126" s="96"/>
    </row>
    <row r="127" spans="2:4" s="5" customFormat="1" ht="15.75" customHeight="1">
      <c r="B127" s="93"/>
      <c r="C127" s="85"/>
      <c r="D127" s="96"/>
    </row>
    <row r="128" spans="2:4" s="5" customFormat="1" ht="15.75" customHeight="1">
      <c r="B128" s="93"/>
      <c r="C128" s="85"/>
      <c r="D128" s="96"/>
    </row>
    <row r="129" spans="2:4" s="5" customFormat="1" ht="15.75" customHeight="1">
      <c r="B129" s="93"/>
      <c r="C129" s="85"/>
      <c r="D129" s="96"/>
    </row>
    <row r="130" spans="2:4" s="5" customFormat="1" ht="15.75" customHeight="1">
      <c r="B130" s="93"/>
      <c r="C130" s="85"/>
      <c r="D130" s="96"/>
    </row>
    <row r="131" spans="2:4" s="5" customFormat="1" ht="15.75" customHeight="1">
      <c r="B131" s="93"/>
      <c r="C131" s="85"/>
      <c r="D131" s="96"/>
    </row>
    <row r="132" spans="2:4" s="5" customFormat="1" ht="15.75" customHeight="1">
      <c r="B132" s="93"/>
      <c r="C132" s="85"/>
      <c r="D132" s="96"/>
    </row>
    <row r="133" spans="2:4" s="5" customFormat="1" ht="15.75" customHeight="1">
      <c r="B133" s="93"/>
      <c r="C133" s="85"/>
      <c r="D133" s="96"/>
    </row>
    <row r="134" spans="2:4" s="5" customFormat="1" ht="15.75" customHeight="1">
      <c r="B134" s="93"/>
      <c r="C134" s="85"/>
      <c r="D134" s="96"/>
    </row>
    <row r="135" spans="2:4" s="5" customFormat="1" ht="15.75" customHeight="1">
      <c r="B135" s="93"/>
      <c r="C135" s="85"/>
      <c r="D135" s="96"/>
    </row>
    <row r="136" spans="2:4" s="5" customFormat="1" ht="15.75" customHeight="1">
      <c r="B136" s="93"/>
      <c r="C136" s="85"/>
      <c r="D136" s="96"/>
    </row>
    <row r="137" spans="2:4" s="5" customFormat="1" ht="15.75" customHeight="1">
      <c r="B137" s="93"/>
      <c r="C137" s="85"/>
      <c r="D137" s="96"/>
    </row>
    <row r="138" spans="2:4" s="5" customFormat="1" ht="15.75" customHeight="1">
      <c r="B138" s="93"/>
      <c r="C138" s="85"/>
      <c r="D138" s="96"/>
    </row>
    <row r="139" spans="2:4" s="5" customFormat="1" ht="15.75" customHeight="1">
      <c r="B139" s="93"/>
      <c r="C139" s="85"/>
      <c r="D139" s="96"/>
    </row>
    <row r="140" spans="2:4" s="5" customFormat="1" ht="15.75" customHeight="1">
      <c r="B140" s="93"/>
      <c r="C140" s="85"/>
      <c r="D140" s="96"/>
    </row>
    <row r="141" spans="2:4" s="5" customFormat="1" ht="15.75" customHeight="1">
      <c r="B141" s="93"/>
      <c r="C141" s="85"/>
      <c r="D141" s="96"/>
    </row>
    <row r="142" spans="2:4" s="5" customFormat="1" ht="15.75" customHeight="1">
      <c r="B142" s="93"/>
      <c r="C142" s="85"/>
      <c r="D142" s="96"/>
    </row>
    <row r="143" spans="2:4" s="5" customFormat="1" ht="15.75" customHeight="1">
      <c r="B143" s="93"/>
      <c r="C143" s="85"/>
      <c r="D143" s="96"/>
    </row>
    <row r="144" spans="2:4" s="5" customFormat="1" ht="15.75" customHeight="1">
      <c r="B144" s="93"/>
      <c r="C144" s="85"/>
      <c r="D144" s="96"/>
    </row>
    <row r="145" spans="2:4" s="5" customFormat="1" ht="15.75" customHeight="1">
      <c r="B145" s="93"/>
      <c r="C145" s="85"/>
      <c r="D145" s="96"/>
    </row>
    <row r="146" spans="2:4" s="5" customFormat="1" ht="15.75" customHeight="1">
      <c r="B146" s="93"/>
      <c r="C146" s="85"/>
      <c r="D146" s="96"/>
    </row>
    <row r="147" spans="2:4" s="5" customFormat="1" ht="15.75" customHeight="1">
      <c r="B147" s="93"/>
      <c r="C147" s="85"/>
      <c r="D147" s="96"/>
    </row>
    <row r="148" spans="2:4" s="5" customFormat="1" ht="15.75" customHeight="1">
      <c r="B148" s="93"/>
      <c r="C148" s="85"/>
      <c r="D148" s="96"/>
    </row>
    <row r="149" spans="2:4" s="5" customFormat="1" ht="15.75" customHeight="1">
      <c r="B149" s="93"/>
      <c r="C149" s="85"/>
      <c r="D149" s="96"/>
    </row>
    <row r="150" spans="2:4" s="5" customFormat="1" ht="15.75" customHeight="1">
      <c r="B150" s="93"/>
      <c r="C150" s="85"/>
      <c r="D150" s="96"/>
    </row>
    <row r="151" spans="2:4" s="5" customFormat="1" ht="15.75" customHeight="1">
      <c r="B151" s="93"/>
      <c r="C151" s="85"/>
      <c r="D151" s="96"/>
    </row>
    <row r="152" spans="2:4" s="5" customFormat="1" ht="15.75" customHeight="1">
      <c r="B152" s="93"/>
      <c r="C152" s="85"/>
      <c r="D152" s="96"/>
    </row>
    <row r="153" spans="2:4" s="5" customFormat="1" ht="15.75" customHeight="1">
      <c r="B153" s="93"/>
      <c r="C153" s="85"/>
      <c r="D153" s="96"/>
    </row>
    <row r="154" spans="2:4" s="5" customFormat="1" ht="15.75" customHeight="1">
      <c r="B154" s="93"/>
      <c r="C154" s="85"/>
      <c r="D154" s="96"/>
    </row>
    <row r="155" spans="2:4" s="5" customFormat="1" ht="15.75" customHeight="1">
      <c r="B155" s="93"/>
      <c r="C155" s="85"/>
      <c r="D155" s="96"/>
    </row>
    <row r="156" spans="2:4" s="5" customFormat="1" ht="15.75" customHeight="1">
      <c r="B156" s="93"/>
      <c r="C156" s="85"/>
      <c r="D156" s="96"/>
    </row>
    <row r="157" spans="2:4" s="5" customFormat="1" ht="15.75" customHeight="1">
      <c r="B157" s="93"/>
      <c r="C157" s="85"/>
      <c r="D157" s="96"/>
    </row>
    <row r="158" spans="2:4" s="5" customFormat="1" ht="15.75" customHeight="1">
      <c r="B158" s="93"/>
      <c r="C158" s="85"/>
      <c r="D158" s="96"/>
    </row>
    <row r="159" spans="2:4" s="5" customFormat="1" ht="15.75" customHeight="1">
      <c r="B159" s="93"/>
      <c r="C159" s="85"/>
      <c r="D159" s="96"/>
    </row>
    <row r="160" spans="2:4" s="5" customFormat="1" ht="15.75" customHeight="1">
      <c r="B160" s="93"/>
      <c r="C160" s="85"/>
      <c r="D160" s="96"/>
    </row>
    <row r="161" spans="2:4" s="5" customFormat="1" ht="15.75" customHeight="1">
      <c r="B161" s="93"/>
      <c r="C161" s="85"/>
      <c r="D161" s="96"/>
    </row>
  </sheetData>
  <mergeCells count="10">
    <mergeCell ref="B56:C56"/>
    <mergeCell ref="B57:C57"/>
    <mergeCell ref="B58:C58"/>
    <mergeCell ref="B6:D6"/>
    <mergeCell ref="B7:B8"/>
    <mergeCell ref="B22:B23"/>
    <mergeCell ref="C22:C23"/>
    <mergeCell ref="D22:D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fitToWidth="0" fitToHeight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161"/>
  <sheetViews>
    <sheetView showGridLines="0" workbookViewId="0">
      <selection activeCell="B12" sqref="B12"/>
    </sheetView>
  </sheetViews>
  <sheetFormatPr defaultRowHeight="15.75" customHeight="1"/>
  <cols>
    <col min="1" max="1" width="1.42578125" style="6" customWidth="1"/>
    <col min="2" max="2" width="60.5703125" style="99" customWidth="1"/>
    <col min="3" max="3" width="15.140625" style="100" customWidth="1"/>
    <col min="4" max="4" width="14.7109375" style="105" customWidth="1"/>
    <col min="5" max="20" width="9.5703125" style="5" customWidth="1"/>
    <col min="21" max="1024" width="9.42578125" style="6" customWidth="1"/>
  </cols>
  <sheetData>
    <row r="1" spans="1:20" ht="15.75" customHeight="1">
      <c r="A1" s="5"/>
      <c r="B1" s="80"/>
      <c r="C1" s="81"/>
      <c r="D1" s="101"/>
    </row>
    <row r="2" spans="1:20" ht="15.75" customHeight="1">
      <c r="A2" s="5"/>
      <c r="B2" s="84"/>
      <c r="C2" s="85"/>
      <c r="D2" s="102"/>
    </row>
    <row r="3" spans="1:20" ht="15.75" customHeight="1">
      <c r="A3" s="5"/>
      <c r="B3" s="84"/>
      <c r="C3" s="85"/>
      <c r="D3" s="102"/>
    </row>
    <row r="4" spans="1:20" ht="15.75" customHeight="1">
      <c r="A4" s="5"/>
      <c r="B4" s="84"/>
      <c r="C4" s="85"/>
      <c r="D4" s="102"/>
    </row>
    <row r="5" spans="1:20" ht="15.75" customHeight="1">
      <c r="A5" s="5"/>
      <c r="B5" s="88"/>
      <c r="C5" s="89"/>
      <c r="D5" s="103"/>
    </row>
    <row r="6" spans="1:20" s="20" customFormat="1" ht="24.95" customHeight="1">
      <c r="A6" s="19"/>
      <c r="B6" s="278" t="s">
        <v>0</v>
      </c>
      <c r="C6" s="278"/>
      <c r="D6" s="27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9" t="s">
        <v>1</v>
      </c>
      <c r="C7" s="59" t="s">
        <v>69</v>
      </c>
      <c r="D7" s="60" t="s">
        <v>70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9"/>
      <c r="C8" s="60" t="s">
        <v>2</v>
      </c>
      <c r="D8" s="60" t="s">
        <v>2</v>
      </c>
    </row>
    <row r="9" spans="1:20" ht="17.100000000000001" customHeight="1">
      <c r="A9" s="5"/>
      <c r="B9" s="54" t="s">
        <v>3</v>
      </c>
      <c r="C9" s="24">
        <v>473846.43899999995</v>
      </c>
      <c r="D9" s="94">
        <f>'MAIO 2021'!D9+'MAIO 2021'!C9</f>
        <v>2581703.54</v>
      </c>
    </row>
    <row r="10" spans="1:20" ht="17.100000000000001" customHeight="1">
      <c r="A10" s="5"/>
      <c r="B10" s="54" t="s">
        <v>4</v>
      </c>
      <c r="C10" s="55">
        <v>301538.64</v>
      </c>
      <c r="D10" s="94">
        <f>'MAIO 2021'!D10+'MAIO 2021'!C10</f>
        <v>1480515.36</v>
      </c>
    </row>
    <row r="11" spans="1:20" ht="17.100000000000001" customHeight="1">
      <c r="A11" s="5"/>
      <c r="B11" s="54" t="s">
        <v>135</v>
      </c>
      <c r="C11" s="55">
        <v>126693.92</v>
      </c>
      <c r="D11" s="94">
        <f>'ABRIL 2021'!C11+'ABRIL 2021'!D11</f>
        <v>568899.83999999997</v>
      </c>
    </row>
    <row r="12" spans="1:20" ht="17.100000000000001" customHeight="1">
      <c r="A12" s="5"/>
      <c r="B12" s="54" t="s">
        <v>6</v>
      </c>
      <c r="C12" s="55">
        <v>109194.69</v>
      </c>
      <c r="D12" s="94">
        <f>'MAIO 2021'!D12+'MAIO 2021'!C12</f>
        <v>51675.960000000079</v>
      </c>
    </row>
    <row r="13" spans="1:20" ht="17.100000000000001" customHeight="1">
      <c r="A13" s="5"/>
      <c r="B13" s="54" t="s">
        <v>71</v>
      </c>
      <c r="C13" s="55">
        <v>51484.76</v>
      </c>
      <c r="D13" s="94">
        <f>'MAIO 2021'!D13+'MAIO 2021'!C13</f>
        <v>250256.12999999998</v>
      </c>
    </row>
    <row r="14" spans="1:20" ht="17.100000000000001" customHeight="1">
      <c r="A14" s="5"/>
      <c r="B14" s="54" t="s">
        <v>72</v>
      </c>
      <c r="C14" s="55">
        <v>21519.1</v>
      </c>
      <c r="D14" s="94">
        <f>'MAIO 2021'!D14+'MAIO 2021'!C14</f>
        <v>104134.57</v>
      </c>
    </row>
    <row r="15" spans="1:20" ht="17.100000000000001" customHeight="1">
      <c r="A15" s="5"/>
      <c r="B15" s="54" t="s">
        <v>73</v>
      </c>
      <c r="C15" s="55">
        <v>10571.54</v>
      </c>
      <c r="D15" s="94">
        <f>'MAIO 2021'!D15+'MAIO 2021'!C15</f>
        <v>51159.32</v>
      </c>
    </row>
    <row r="16" spans="1:20" ht="17.100000000000001" customHeight="1">
      <c r="A16" s="5"/>
      <c r="B16" s="54" t="s">
        <v>74</v>
      </c>
      <c r="C16" s="55">
        <v>4407.32</v>
      </c>
      <c r="D16" s="94">
        <f>'MAIO 2021'!D16+'MAIO 2021'!C16</f>
        <v>21328.530000000002</v>
      </c>
    </row>
    <row r="17" spans="1:20" ht="17.100000000000001" customHeight="1">
      <c r="A17" s="5"/>
      <c r="B17" s="54" t="s">
        <v>75</v>
      </c>
      <c r="C17" s="55">
        <v>15098.86</v>
      </c>
      <c r="D17" s="94">
        <f>'MAIO 2021'!D17+'MAIO 2021'!C17</f>
        <v>29905.61</v>
      </c>
    </row>
    <row r="18" spans="1:20" ht="17.100000000000001" customHeight="1">
      <c r="A18" s="5"/>
      <c r="B18" s="54" t="s">
        <v>7</v>
      </c>
      <c r="C18" s="55">
        <v>11365.55</v>
      </c>
      <c r="D18" s="94">
        <f>'MAIO 2021'!D18+'MAIO 2021'!C18</f>
        <v>45462.2</v>
      </c>
    </row>
    <row r="19" spans="1:20" ht="17.100000000000001" customHeight="1">
      <c r="A19" s="5"/>
      <c r="B19" s="54" t="s">
        <v>8</v>
      </c>
      <c r="C19" s="55"/>
      <c r="D19" s="94">
        <v>0</v>
      </c>
    </row>
    <row r="20" spans="1:20" s="20" customFormat="1" ht="15.75" customHeight="1">
      <c r="A20" s="19"/>
      <c r="B20" s="56" t="s">
        <v>9</v>
      </c>
      <c r="C20" s="57">
        <f>SUM(C9:C19)</f>
        <v>1125720.8190000004</v>
      </c>
      <c r="D20" s="57">
        <f>SUM(D9:D19)</f>
        <v>5185041.0600000015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</row>
    <row r="22" spans="1:20" s="20" customFormat="1" ht="15.75" customHeight="1">
      <c r="A22" s="19"/>
      <c r="B22" s="279" t="s">
        <v>10</v>
      </c>
      <c r="C22" s="280" t="s">
        <v>69</v>
      </c>
      <c r="D22" s="281" t="str">
        <f>D7</f>
        <v>JAN A MAI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9"/>
      <c r="C23" s="280"/>
      <c r="D23" s="281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</row>
    <row r="25" spans="1:20" ht="17.100000000000001" customHeight="1">
      <c r="A25" s="5"/>
      <c r="B25" s="54" t="s">
        <v>76</v>
      </c>
      <c r="C25" s="55">
        <v>450168.17</v>
      </c>
      <c r="D25" s="94">
        <f>'MAIO 2021'!D25+'MAIO 2021'!C25</f>
        <v>2298620.36</v>
      </c>
    </row>
    <row r="26" spans="1:20" ht="17.100000000000001" customHeight="1">
      <c r="A26" s="5"/>
      <c r="B26" s="54" t="s">
        <v>39</v>
      </c>
      <c r="C26" s="55">
        <v>56991.839999999997</v>
      </c>
      <c r="D26" s="94">
        <f>'MAIO 2021'!D26+'MAIO 2021'!C26</f>
        <v>307320.62</v>
      </c>
    </row>
    <row r="27" spans="1:20" ht="17.100000000000001" customHeight="1">
      <c r="A27" s="5"/>
      <c r="B27" s="54" t="s">
        <v>12</v>
      </c>
      <c r="C27" s="63">
        <v>20266.25</v>
      </c>
      <c r="D27" s="94">
        <f>'MAIO 2021'!D27+'MAIO 2021'!C27</f>
        <v>133165.35</v>
      </c>
    </row>
    <row r="28" spans="1:20" ht="17.100000000000001" customHeight="1">
      <c r="A28" s="5"/>
      <c r="B28" s="54" t="s">
        <v>13</v>
      </c>
      <c r="C28" s="55">
        <v>1159.6500000000001</v>
      </c>
      <c r="D28" s="94">
        <f>1159.65*5</f>
        <v>5798.25</v>
      </c>
    </row>
    <row r="29" spans="1:20" ht="17.100000000000001" customHeight="1">
      <c r="A29" s="5"/>
      <c r="B29" s="54" t="s">
        <v>41</v>
      </c>
      <c r="C29" s="63">
        <v>20280.21</v>
      </c>
      <c r="D29" s="94">
        <f>'MAIO 2021'!D29+'MAIO 2021'!C29</f>
        <v>116916.86000000006</v>
      </c>
    </row>
    <row r="30" spans="1:20" s="20" customFormat="1" ht="17.100000000000001" customHeight="1">
      <c r="A30" s="19"/>
      <c r="B30" s="64" t="s">
        <v>84</v>
      </c>
      <c r="C30" s="65">
        <f>SUM(C25:C29)</f>
        <v>548866.12</v>
      </c>
      <c r="D30" s="65">
        <f>SUM(D25:D29)</f>
        <v>2861821.44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576854.69900000037</v>
      </c>
      <c r="D31" s="68">
        <f>D20-D30</f>
        <v>2323219.6200000015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9" t="s">
        <v>16</v>
      </c>
      <c r="C34" s="281" t="s">
        <v>69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9"/>
      <c r="C35" s="281"/>
      <c r="D35" s="96"/>
    </row>
    <row r="36" spans="1:20" ht="15.75" customHeight="1">
      <c r="A36" s="5"/>
      <c r="B36" s="72" t="s">
        <v>17</v>
      </c>
      <c r="C36" s="97" t="s">
        <v>2</v>
      </c>
      <c r="D36" s="96"/>
    </row>
    <row r="37" spans="1:20" ht="15.75" customHeight="1">
      <c r="A37" s="5"/>
      <c r="B37" s="54" t="s">
        <v>18</v>
      </c>
      <c r="C37" s="55">
        <v>10205.9</v>
      </c>
      <c r="D37" s="96"/>
    </row>
    <row r="38" spans="1:20" ht="15.75" customHeight="1">
      <c r="A38" s="5"/>
      <c r="B38" s="54" t="s">
        <v>19</v>
      </c>
      <c r="C38" s="55">
        <v>0</v>
      </c>
      <c r="D38" s="96"/>
    </row>
    <row r="39" spans="1:20" ht="15.75" customHeight="1">
      <c r="A39" s="5"/>
      <c r="B39" s="54" t="s">
        <v>20</v>
      </c>
      <c r="C39" s="55">
        <v>10661.63</v>
      </c>
      <c r="D39" s="96"/>
    </row>
    <row r="40" spans="1:20" ht="15.75" customHeight="1">
      <c r="A40" s="5"/>
      <c r="B40" s="54" t="s">
        <v>21</v>
      </c>
      <c r="C40" s="55">
        <v>660.23</v>
      </c>
      <c r="D40" s="96"/>
    </row>
    <row r="41" spans="1:20" ht="15.75" customHeight="1">
      <c r="A41" s="5"/>
      <c r="B41" s="54" t="s">
        <v>22</v>
      </c>
      <c r="C41" s="55">
        <v>267.82</v>
      </c>
      <c r="D41" s="96"/>
    </row>
    <row r="42" spans="1:20" ht="15.75" customHeight="1">
      <c r="A42" s="5"/>
      <c r="B42" s="61" t="s">
        <v>23</v>
      </c>
      <c r="C42" s="74">
        <f>SUM(C37:C41)</f>
        <v>21795.579999999998</v>
      </c>
      <c r="D42" s="96"/>
    </row>
    <row r="43" spans="1:20" ht="15.75" customHeight="1">
      <c r="A43" s="5"/>
      <c r="B43" s="93"/>
      <c r="C43" s="85"/>
      <c r="D43" s="96"/>
    </row>
    <row r="44" spans="1:20" ht="15.75" customHeight="1">
      <c r="A44" s="5"/>
      <c r="B44" s="61" t="s">
        <v>24</v>
      </c>
      <c r="C44" s="98" t="s">
        <v>2</v>
      </c>
      <c r="D44" s="96"/>
    </row>
    <row r="45" spans="1:20" ht="15.75" customHeight="1">
      <c r="A45" s="5"/>
      <c r="B45" s="54" t="s">
        <v>25</v>
      </c>
      <c r="C45" s="55">
        <f>34244320.18-C39-C40-C41</f>
        <v>34232730.5</v>
      </c>
      <c r="D45" s="96"/>
    </row>
    <row r="46" spans="1:20" ht="15.75" customHeight="1">
      <c r="A46" s="5"/>
      <c r="B46" s="54" t="s">
        <v>26</v>
      </c>
      <c r="C46" s="55">
        <f>10661233.36-C37</f>
        <v>10651027.459999999</v>
      </c>
      <c r="D46" s="96"/>
    </row>
    <row r="47" spans="1:20" ht="15.75" customHeight="1">
      <c r="A47" s="5"/>
      <c r="B47" s="54" t="s">
        <v>27</v>
      </c>
      <c r="C47" s="55">
        <v>5454.3</v>
      </c>
      <c r="D47" s="96"/>
    </row>
    <row r="48" spans="1:20" ht="15.75" customHeight="1">
      <c r="A48" s="5"/>
      <c r="B48" s="61" t="s">
        <v>28</v>
      </c>
      <c r="C48" s="74">
        <f>SUM(C45:C47)</f>
        <v>44889212.259999998</v>
      </c>
      <c r="D48" s="96"/>
    </row>
    <row r="49" spans="1:4" ht="15.75" customHeight="1">
      <c r="A49" s="5"/>
      <c r="D49" s="96"/>
    </row>
    <row r="50" spans="1:4" ht="15.75" customHeight="1">
      <c r="A50" s="5"/>
      <c r="B50" s="78" t="s">
        <v>29</v>
      </c>
      <c r="C50" s="79">
        <f>C48+C42</f>
        <v>44911007.839999996</v>
      </c>
      <c r="D50" s="96"/>
    </row>
    <row r="51" spans="1:4" ht="15.75" customHeight="1">
      <c r="A51" s="5"/>
      <c r="B51" s="93"/>
      <c r="C51" s="85"/>
      <c r="D51" s="96"/>
    </row>
    <row r="52" spans="1:4" ht="15.75" customHeight="1">
      <c r="A52" s="5"/>
      <c r="B52" s="93"/>
      <c r="C52" s="85"/>
      <c r="D52" s="96"/>
    </row>
    <row r="53" spans="1:4" ht="15.75" customHeight="1">
      <c r="A53" s="5"/>
      <c r="B53" s="93"/>
      <c r="C53" s="85"/>
      <c r="D53" s="96"/>
    </row>
    <row r="54" spans="1:4" ht="15.75" customHeight="1">
      <c r="A54" s="5"/>
      <c r="B54" s="93"/>
      <c r="C54" s="85"/>
      <c r="D54" s="96"/>
    </row>
    <row r="55" spans="1:4" ht="15.75" customHeight="1">
      <c r="A55" s="5"/>
      <c r="B55" s="93"/>
      <c r="C55" s="85"/>
      <c r="D55" s="96"/>
    </row>
    <row r="56" spans="1:4" ht="15.75" customHeight="1">
      <c r="A56" s="5"/>
      <c r="B56" s="282" t="s">
        <v>30</v>
      </c>
      <c r="C56" s="282"/>
      <c r="D56" s="96"/>
    </row>
    <row r="57" spans="1:4" ht="15.75" customHeight="1">
      <c r="A57" s="5"/>
      <c r="B57" s="282" t="s">
        <v>42</v>
      </c>
      <c r="C57" s="282"/>
      <c r="D57" s="96"/>
    </row>
    <row r="58" spans="1:4" ht="15.75" customHeight="1">
      <c r="A58" s="5"/>
      <c r="B58" s="282" t="s">
        <v>43</v>
      </c>
      <c r="C58" s="282"/>
      <c r="D58" s="96"/>
    </row>
    <row r="59" spans="1:4" ht="15.75" customHeight="1">
      <c r="A59" s="5"/>
      <c r="B59" s="93"/>
      <c r="C59" s="85"/>
      <c r="D59" s="96"/>
    </row>
    <row r="60" spans="1:4" ht="15.75" customHeight="1">
      <c r="A60" s="5"/>
      <c r="B60" s="93"/>
      <c r="C60" s="85"/>
      <c r="D60" s="96"/>
    </row>
    <row r="61" spans="1:4" ht="15.75" customHeight="1">
      <c r="A61" s="5"/>
      <c r="B61" s="93"/>
      <c r="C61" s="85"/>
      <c r="D61" s="96"/>
    </row>
    <row r="62" spans="1:4" ht="15.75" customHeight="1">
      <c r="A62" s="5"/>
      <c r="B62" s="93"/>
      <c r="C62" s="85"/>
      <c r="D62" s="96"/>
    </row>
    <row r="63" spans="1:4" s="5" customFormat="1" ht="15.75" customHeight="1">
      <c r="B63" s="93"/>
      <c r="C63" s="85"/>
      <c r="D63" s="96"/>
    </row>
    <row r="64" spans="1:4" s="5" customFormat="1" ht="15.75" customHeight="1">
      <c r="B64" s="93"/>
      <c r="C64" s="85"/>
      <c r="D64" s="96"/>
    </row>
    <row r="65" spans="2:4" s="5" customFormat="1" ht="15.75" customHeight="1">
      <c r="B65" s="93"/>
      <c r="C65" s="85"/>
      <c r="D65" s="96"/>
    </row>
    <row r="66" spans="2:4" s="5" customFormat="1" ht="15.75" customHeight="1">
      <c r="B66" s="93"/>
      <c r="C66" s="85"/>
      <c r="D66" s="96"/>
    </row>
    <row r="67" spans="2:4" s="5" customFormat="1" ht="15.75" customHeight="1">
      <c r="B67" s="93"/>
      <c r="C67" s="85"/>
      <c r="D67" s="96"/>
    </row>
    <row r="68" spans="2:4" s="5" customFormat="1" ht="15.75" customHeight="1">
      <c r="B68" s="93"/>
      <c r="C68" s="85"/>
      <c r="D68" s="96"/>
    </row>
    <row r="69" spans="2:4" s="5" customFormat="1" ht="15.75" customHeight="1">
      <c r="B69" s="93"/>
      <c r="C69" s="85"/>
      <c r="D69" s="96"/>
    </row>
    <row r="70" spans="2:4" s="5" customFormat="1" ht="15.75" customHeight="1">
      <c r="B70" s="93"/>
      <c r="C70" s="85"/>
      <c r="D70" s="96"/>
    </row>
    <row r="71" spans="2:4" s="5" customFormat="1" ht="15.75" customHeight="1">
      <c r="B71" s="93"/>
      <c r="C71" s="85"/>
      <c r="D71" s="96"/>
    </row>
    <row r="72" spans="2:4" s="5" customFormat="1" ht="15.75" customHeight="1">
      <c r="B72" s="93"/>
      <c r="C72" s="85"/>
      <c r="D72" s="96"/>
    </row>
    <row r="73" spans="2:4" s="5" customFormat="1" ht="15.75" customHeight="1">
      <c r="B73" s="93"/>
      <c r="C73" s="85"/>
      <c r="D73" s="96"/>
    </row>
    <row r="74" spans="2:4" s="5" customFormat="1" ht="15.75" customHeight="1">
      <c r="B74" s="93"/>
      <c r="C74" s="85"/>
      <c r="D74" s="96"/>
    </row>
    <row r="75" spans="2:4" s="5" customFormat="1" ht="15.75" customHeight="1">
      <c r="B75" s="93"/>
      <c r="C75" s="85"/>
      <c r="D75" s="96"/>
    </row>
    <row r="76" spans="2:4" s="5" customFormat="1" ht="15.75" customHeight="1">
      <c r="B76" s="93"/>
      <c r="C76" s="85"/>
      <c r="D76" s="96"/>
    </row>
    <row r="77" spans="2:4" s="5" customFormat="1" ht="15.75" customHeight="1">
      <c r="B77" s="93"/>
      <c r="C77" s="85"/>
      <c r="D77" s="96"/>
    </row>
    <row r="78" spans="2:4" s="5" customFormat="1" ht="15.75" customHeight="1">
      <c r="B78" s="93"/>
      <c r="C78" s="85"/>
      <c r="D78" s="96"/>
    </row>
    <row r="79" spans="2:4" s="5" customFormat="1" ht="15.75" customHeight="1">
      <c r="B79" s="93"/>
      <c r="C79" s="85"/>
      <c r="D79" s="96"/>
    </row>
    <row r="80" spans="2:4" s="5" customFormat="1" ht="15.75" customHeight="1">
      <c r="B80" s="93"/>
      <c r="C80" s="85"/>
      <c r="D80" s="96"/>
    </row>
    <row r="81" spans="2:4" s="5" customFormat="1" ht="15.75" customHeight="1">
      <c r="B81" s="93"/>
      <c r="C81" s="85"/>
      <c r="D81" s="96"/>
    </row>
    <row r="82" spans="2:4" s="5" customFormat="1" ht="15.75" customHeight="1">
      <c r="B82" s="93"/>
      <c r="C82" s="85"/>
      <c r="D82" s="96"/>
    </row>
    <row r="83" spans="2:4" s="5" customFormat="1" ht="15.75" customHeight="1">
      <c r="B83" s="93"/>
      <c r="C83" s="85"/>
      <c r="D83" s="96"/>
    </row>
    <row r="84" spans="2:4" s="5" customFormat="1" ht="15.75" customHeight="1">
      <c r="B84" s="93"/>
      <c r="C84" s="85"/>
      <c r="D84" s="96"/>
    </row>
    <row r="85" spans="2:4" s="5" customFormat="1" ht="15.75" customHeight="1">
      <c r="B85" s="93"/>
      <c r="C85" s="85"/>
      <c r="D85" s="96"/>
    </row>
    <row r="86" spans="2:4" s="5" customFormat="1" ht="15.75" customHeight="1">
      <c r="B86" s="93"/>
      <c r="C86" s="85"/>
      <c r="D86" s="96"/>
    </row>
    <row r="87" spans="2:4" s="5" customFormat="1" ht="15.75" customHeight="1">
      <c r="B87" s="93"/>
      <c r="C87" s="85"/>
      <c r="D87" s="96"/>
    </row>
    <row r="88" spans="2:4" s="5" customFormat="1" ht="15.75" customHeight="1">
      <c r="B88" s="93"/>
      <c r="C88" s="85"/>
      <c r="D88" s="96"/>
    </row>
    <row r="89" spans="2:4" s="5" customFormat="1" ht="15.75" customHeight="1">
      <c r="B89" s="93"/>
      <c r="C89" s="85"/>
      <c r="D89" s="96"/>
    </row>
    <row r="90" spans="2:4" s="5" customFormat="1" ht="15.75" customHeight="1">
      <c r="B90" s="93"/>
      <c r="C90" s="85"/>
      <c r="D90" s="96"/>
    </row>
    <row r="91" spans="2:4" s="5" customFormat="1" ht="15.75" customHeight="1">
      <c r="B91" s="93"/>
      <c r="C91" s="85"/>
      <c r="D91" s="96"/>
    </row>
    <row r="92" spans="2:4" s="5" customFormat="1" ht="15.75" customHeight="1">
      <c r="B92" s="93"/>
      <c r="C92" s="85"/>
      <c r="D92" s="96"/>
    </row>
    <row r="93" spans="2:4" s="5" customFormat="1" ht="15.75" customHeight="1">
      <c r="B93" s="93"/>
      <c r="C93" s="85"/>
      <c r="D93" s="96"/>
    </row>
    <row r="94" spans="2:4" s="5" customFormat="1" ht="15.75" customHeight="1">
      <c r="B94" s="93"/>
      <c r="C94" s="85"/>
      <c r="D94" s="96"/>
    </row>
    <row r="95" spans="2:4" s="5" customFormat="1" ht="15.75" customHeight="1">
      <c r="B95" s="93"/>
      <c r="C95" s="85"/>
      <c r="D95" s="96"/>
    </row>
    <row r="96" spans="2:4" s="5" customFormat="1" ht="15.75" customHeight="1">
      <c r="B96" s="93"/>
      <c r="C96" s="85"/>
      <c r="D96" s="96"/>
    </row>
    <row r="97" spans="2:4" s="5" customFormat="1" ht="15.75" customHeight="1">
      <c r="B97" s="93"/>
      <c r="C97" s="85"/>
      <c r="D97" s="96"/>
    </row>
    <row r="98" spans="2:4" s="5" customFormat="1" ht="15.75" customHeight="1">
      <c r="B98" s="93"/>
      <c r="C98" s="85"/>
      <c r="D98" s="96"/>
    </row>
    <row r="99" spans="2:4" s="5" customFormat="1" ht="15.75" customHeight="1">
      <c r="B99" s="93"/>
      <c r="C99" s="85"/>
      <c r="D99" s="96"/>
    </row>
    <row r="100" spans="2:4" s="5" customFormat="1" ht="15.75" customHeight="1">
      <c r="B100" s="93"/>
      <c r="C100" s="85"/>
      <c r="D100" s="96"/>
    </row>
    <row r="101" spans="2:4" s="5" customFormat="1" ht="15.75" customHeight="1">
      <c r="B101" s="93"/>
      <c r="C101" s="85"/>
      <c r="D101" s="96"/>
    </row>
    <row r="102" spans="2:4" s="5" customFormat="1" ht="15.75" customHeight="1">
      <c r="B102" s="93"/>
      <c r="C102" s="85"/>
      <c r="D102" s="96"/>
    </row>
    <row r="103" spans="2:4" s="5" customFormat="1" ht="15.75" customHeight="1">
      <c r="B103" s="93"/>
      <c r="C103" s="85"/>
      <c r="D103" s="96"/>
    </row>
    <row r="104" spans="2:4" s="5" customFormat="1" ht="15.75" customHeight="1">
      <c r="B104" s="93"/>
      <c r="C104" s="85"/>
      <c r="D104" s="96"/>
    </row>
    <row r="105" spans="2:4" s="5" customFormat="1" ht="15.75" customHeight="1">
      <c r="B105" s="93"/>
      <c r="C105" s="85"/>
      <c r="D105" s="96"/>
    </row>
    <row r="106" spans="2:4" s="5" customFormat="1" ht="15.75" customHeight="1">
      <c r="B106" s="93"/>
      <c r="C106" s="85"/>
      <c r="D106" s="96"/>
    </row>
    <row r="107" spans="2:4" s="5" customFormat="1" ht="15.75" customHeight="1">
      <c r="B107" s="93"/>
      <c r="C107" s="85"/>
      <c r="D107" s="96"/>
    </row>
    <row r="108" spans="2:4" s="5" customFormat="1" ht="15.75" customHeight="1">
      <c r="B108" s="93"/>
      <c r="C108" s="85"/>
      <c r="D108" s="96"/>
    </row>
    <row r="109" spans="2:4" s="5" customFormat="1" ht="15.75" customHeight="1">
      <c r="B109" s="93"/>
      <c r="C109" s="85"/>
      <c r="D109" s="96"/>
    </row>
    <row r="110" spans="2:4" s="5" customFormat="1" ht="15.75" customHeight="1">
      <c r="B110" s="93"/>
      <c r="C110" s="85"/>
      <c r="D110" s="96"/>
    </row>
    <row r="111" spans="2:4" s="5" customFormat="1" ht="15.75" customHeight="1">
      <c r="B111" s="93"/>
      <c r="C111" s="85"/>
      <c r="D111" s="96"/>
    </row>
    <row r="112" spans="2:4" s="5" customFormat="1" ht="15.75" customHeight="1">
      <c r="B112" s="93"/>
      <c r="C112" s="85"/>
      <c r="D112" s="96"/>
    </row>
    <row r="113" spans="2:4" s="5" customFormat="1" ht="15.75" customHeight="1">
      <c r="B113" s="93"/>
      <c r="C113" s="85"/>
      <c r="D113" s="96"/>
    </row>
    <row r="114" spans="2:4" s="5" customFormat="1" ht="15.75" customHeight="1">
      <c r="B114" s="93"/>
      <c r="C114" s="85"/>
      <c r="D114" s="96"/>
    </row>
    <row r="115" spans="2:4" s="5" customFormat="1" ht="15.75" customHeight="1">
      <c r="B115" s="93"/>
      <c r="C115" s="85"/>
      <c r="D115" s="96"/>
    </row>
    <row r="116" spans="2:4" s="5" customFormat="1" ht="15.75" customHeight="1">
      <c r="B116" s="93"/>
      <c r="C116" s="85"/>
      <c r="D116" s="96"/>
    </row>
    <row r="117" spans="2:4" s="5" customFormat="1" ht="15.75" customHeight="1">
      <c r="B117" s="93"/>
      <c r="C117" s="85"/>
      <c r="D117" s="96"/>
    </row>
    <row r="118" spans="2:4" s="5" customFormat="1" ht="15.75" customHeight="1">
      <c r="B118" s="93"/>
      <c r="C118" s="85"/>
      <c r="D118" s="96"/>
    </row>
    <row r="119" spans="2:4" s="5" customFormat="1" ht="15.75" customHeight="1">
      <c r="B119" s="93"/>
      <c r="C119" s="85"/>
      <c r="D119" s="96"/>
    </row>
    <row r="120" spans="2:4" s="5" customFormat="1" ht="15.75" customHeight="1">
      <c r="B120" s="93"/>
      <c r="C120" s="85"/>
      <c r="D120" s="96"/>
    </row>
    <row r="121" spans="2:4" s="5" customFormat="1" ht="15.75" customHeight="1">
      <c r="B121" s="93"/>
      <c r="C121" s="85"/>
      <c r="D121" s="96"/>
    </row>
    <row r="122" spans="2:4" s="5" customFormat="1" ht="15.75" customHeight="1">
      <c r="B122" s="93"/>
      <c r="C122" s="85"/>
      <c r="D122" s="96"/>
    </row>
    <row r="123" spans="2:4" s="5" customFormat="1" ht="15.75" customHeight="1">
      <c r="B123" s="93"/>
      <c r="C123" s="85"/>
      <c r="D123" s="96"/>
    </row>
    <row r="124" spans="2:4" s="5" customFormat="1" ht="15.75" customHeight="1">
      <c r="B124" s="93"/>
      <c r="C124" s="85"/>
      <c r="D124" s="96"/>
    </row>
    <row r="125" spans="2:4" s="5" customFormat="1" ht="15.75" customHeight="1">
      <c r="B125" s="93"/>
      <c r="C125" s="85"/>
      <c r="D125" s="96"/>
    </row>
    <row r="126" spans="2:4" s="5" customFormat="1" ht="15.75" customHeight="1">
      <c r="B126" s="93"/>
      <c r="C126" s="85"/>
      <c r="D126" s="96"/>
    </row>
    <row r="127" spans="2:4" s="5" customFormat="1" ht="15.75" customHeight="1">
      <c r="B127" s="93"/>
      <c r="C127" s="85"/>
      <c r="D127" s="96"/>
    </row>
    <row r="128" spans="2:4" s="5" customFormat="1" ht="15.75" customHeight="1">
      <c r="B128" s="93"/>
      <c r="C128" s="85"/>
      <c r="D128" s="96"/>
    </row>
    <row r="129" spans="2:4" s="5" customFormat="1" ht="15.75" customHeight="1">
      <c r="B129" s="93"/>
      <c r="C129" s="85"/>
      <c r="D129" s="96"/>
    </row>
    <row r="130" spans="2:4" s="5" customFormat="1" ht="15.75" customHeight="1">
      <c r="B130" s="93"/>
      <c r="C130" s="85"/>
      <c r="D130" s="96"/>
    </row>
    <row r="131" spans="2:4" s="5" customFormat="1" ht="15.75" customHeight="1">
      <c r="B131" s="93"/>
      <c r="C131" s="85"/>
      <c r="D131" s="96"/>
    </row>
    <row r="132" spans="2:4" s="5" customFormat="1" ht="15.75" customHeight="1">
      <c r="B132" s="93"/>
      <c r="C132" s="85"/>
      <c r="D132" s="96"/>
    </row>
    <row r="133" spans="2:4" s="5" customFormat="1" ht="15.75" customHeight="1">
      <c r="B133" s="93"/>
      <c r="C133" s="85"/>
      <c r="D133" s="96"/>
    </row>
    <row r="134" spans="2:4" s="5" customFormat="1" ht="15.75" customHeight="1">
      <c r="B134" s="93"/>
      <c r="C134" s="85"/>
      <c r="D134" s="96"/>
    </row>
    <row r="135" spans="2:4" s="5" customFormat="1" ht="15.75" customHeight="1">
      <c r="B135" s="93"/>
      <c r="C135" s="85"/>
      <c r="D135" s="96"/>
    </row>
    <row r="136" spans="2:4" s="5" customFormat="1" ht="15.75" customHeight="1">
      <c r="B136" s="93"/>
      <c r="C136" s="85"/>
      <c r="D136" s="96"/>
    </row>
    <row r="137" spans="2:4" s="5" customFormat="1" ht="15.75" customHeight="1">
      <c r="B137" s="93"/>
      <c r="C137" s="85"/>
      <c r="D137" s="96"/>
    </row>
    <row r="138" spans="2:4" s="5" customFormat="1" ht="15.75" customHeight="1">
      <c r="B138" s="93"/>
      <c r="C138" s="85"/>
      <c r="D138" s="96"/>
    </row>
    <row r="139" spans="2:4" s="5" customFormat="1" ht="15.75" customHeight="1">
      <c r="B139" s="93"/>
      <c r="C139" s="85"/>
      <c r="D139" s="96"/>
    </row>
    <row r="140" spans="2:4" s="5" customFormat="1" ht="15.75" customHeight="1">
      <c r="B140" s="93"/>
      <c r="C140" s="85"/>
      <c r="D140" s="96"/>
    </row>
    <row r="141" spans="2:4" s="5" customFormat="1" ht="15.75" customHeight="1">
      <c r="B141" s="93"/>
      <c r="C141" s="85"/>
      <c r="D141" s="96"/>
    </row>
    <row r="142" spans="2:4" s="5" customFormat="1" ht="15.75" customHeight="1">
      <c r="B142" s="93"/>
      <c r="C142" s="85"/>
      <c r="D142" s="96"/>
    </row>
    <row r="143" spans="2:4" s="5" customFormat="1" ht="15.75" customHeight="1">
      <c r="B143" s="93"/>
      <c r="C143" s="85"/>
      <c r="D143" s="96"/>
    </row>
    <row r="144" spans="2:4" s="5" customFormat="1" ht="15.75" customHeight="1">
      <c r="B144" s="93"/>
      <c r="C144" s="85"/>
      <c r="D144" s="96"/>
    </row>
    <row r="145" spans="2:4" s="5" customFormat="1" ht="15.75" customHeight="1">
      <c r="B145" s="93"/>
      <c r="C145" s="85"/>
      <c r="D145" s="96"/>
    </row>
    <row r="146" spans="2:4" s="5" customFormat="1" ht="15.75" customHeight="1">
      <c r="B146" s="93"/>
      <c r="C146" s="85"/>
      <c r="D146" s="96"/>
    </row>
    <row r="147" spans="2:4" s="5" customFormat="1" ht="15.75" customHeight="1">
      <c r="B147" s="93"/>
      <c r="C147" s="85"/>
      <c r="D147" s="96"/>
    </row>
    <row r="148" spans="2:4" s="5" customFormat="1" ht="15.75" customHeight="1">
      <c r="B148" s="93"/>
      <c r="C148" s="85"/>
      <c r="D148" s="96"/>
    </row>
    <row r="149" spans="2:4" s="5" customFormat="1" ht="15.75" customHeight="1">
      <c r="B149" s="93"/>
      <c r="C149" s="85"/>
      <c r="D149" s="96"/>
    </row>
    <row r="150" spans="2:4" s="5" customFormat="1" ht="15.75" customHeight="1">
      <c r="B150" s="93"/>
      <c r="C150" s="85"/>
      <c r="D150" s="96"/>
    </row>
    <row r="151" spans="2:4" s="5" customFormat="1" ht="15.75" customHeight="1">
      <c r="B151" s="93"/>
      <c r="C151" s="85"/>
      <c r="D151" s="96"/>
    </row>
    <row r="152" spans="2:4" s="5" customFormat="1" ht="15.75" customHeight="1">
      <c r="B152" s="93"/>
      <c r="C152" s="85"/>
      <c r="D152" s="96"/>
    </row>
    <row r="153" spans="2:4" s="5" customFormat="1" ht="15.75" customHeight="1">
      <c r="B153" s="93"/>
      <c r="C153" s="85"/>
      <c r="D153" s="96"/>
    </row>
    <row r="154" spans="2:4" s="5" customFormat="1" ht="15.75" customHeight="1">
      <c r="B154" s="93"/>
      <c r="C154" s="85"/>
      <c r="D154" s="96"/>
    </row>
    <row r="155" spans="2:4" s="5" customFormat="1" ht="15.75" customHeight="1">
      <c r="B155" s="93"/>
      <c r="C155" s="85"/>
      <c r="D155" s="96"/>
    </row>
    <row r="156" spans="2:4" s="5" customFormat="1" ht="15.75" customHeight="1">
      <c r="B156" s="93"/>
      <c r="C156" s="85"/>
      <c r="D156" s="96"/>
    </row>
    <row r="157" spans="2:4" s="5" customFormat="1" ht="15.75" customHeight="1">
      <c r="B157" s="93"/>
      <c r="C157" s="85"/>
      <c r="D157" s="96"/>
    </row>
    <row r="158" spans="2:4" s="5" customFormat="1" ht="15.75" customHeight="1">
      <c r="B158" s="93"/>
      <c r="C158" s="85"/>
      <c r="D158" s="96"/>
    </row>
    <row r="159" spans="2:4" s="5" customFormat="1" ht="15.75" customHeight="1">
      <c r="B159" s="93"/>
      <c r="C159" s="85"/>
      <c r="D159" s="96"/>
    </row>
    <row r="160" spans="2:4" s="5" customFormat="1" ht="15.75" customHeight="1">
      <c r="B160" s="93"/>
      <c r="C160" s="85"/>
      <c r="D160" s="96"/>
    </row>
    <row r="161" spans="2:4" s="5" customFormat="1" ht="15.75" customHeight="1">
      <c r="B161" s="93"/>
      <c r="C161" s="85"/>
      <c r="D161" s="96"/>
    </row>
  </sheetData>
  <mergeCells count="10">
    <mergeCell ref="B56:C56"/>
    <mergeCell ref="B57:C57"/>
    <mergeCell ref="B58:C58"/>
    <mergeCell ref="B6:D6"/>
    <mergeCell ref="B7:B8"/>
    <mergeCell ref="B22:B23"/>
    <mergeCell ref="C22:C23"/>
    <mergeCell ref="D22:D23"/>
    <mergeCell ref="B34:B35"/>
    <mergeCell ref="C34:C35"/>
  </mergeCells>
  <pageMargins left="1" right="1" top="1" bottom="1" header="0.5" footer="0.5"/>
  <pageSetup paperSize="9" scale="27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8"/>
  <sheetViews>
    <sheetView showGridLines="0" workbookViewId="0">
      <selection activeCell="B12" sqref="B12"/>
    </sheetView>
  </sheetViews>
  <sheetFormatPr defaultRowHeight="15.75" customHeight="1"/>
  <cols>
    <col min="1" max="1" width="1.42578125" customWidth="1"/>
    <col min="2" max="2" width="60.5703125" customWidth="1"/>
    <col min="3" max="3" width="15.140625" customWidth="1"/>
    <col min="4" max="4" width="14.7109375" customWidth="1"/>
    <col min="5" max="20" width="9.5703125" customWidth="1"/>
    <col min="21" max="1024" width="9.42578125" customWidth="1"/>
  </cols>
  <sheetData>
    <row r="1" spans="1:20" ht="15.75" customHeight="1">
      <c r="A1" s="5"/>
      <c r="B1" s="80"/>
      <c r="C1" s="81"/>
      <c r="D1" s="10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customHeight="1">
      <c r="A2" s="5"/>
      <c r="B2" s="84"/>
      <c r="C2" s="85"/>
      <c r="D2" s="10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5.75" customHeight="1">
      <c r="A3" s="5"/>
      <c r="B3" s="84"/>
      <c r="C3" s="85"/>
      <c r="D3" s="10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5.75" customHeight="1">
      <c r="A4" s="5"/>
      <c r="B4" s="84"/>
      <c r="C4" s="85"/>
      <c r="D4" s="10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 customHeight="1">
      <c r="A5" s="5"/>
      <c r="B5" s="88"/>
      <c r="C5" s="89"/>
      <c r="D5" s="10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s="20" customFormat="1" ht="24.95" customHeight="1">
      <c r="A6" s="19"/>
      <c r="B6" s="278" t="s">
        <v>0</v>
      </c>
      <c r="C6" s="278"/>
      <c r="D6" s="27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9" t="s">
        <v>1</v>
      </c>
      <c r="C7" s="59" t="s">
        <v>77</v>
      </c>
      <c r="D7" s="60" t="s">
        <v>78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9"/>
      <c r="C8" s="60" t="s">
        <v>2</v>
      </c>
      <c r="D8" s="60" t="s">
        <v>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7.100000000000001" customHeight="1">
      <c r="A9" s="5"/>
      <c r="B9" s="54" t="s">
        <v>3</v>
      </c>
      <c r="C9" s="24">
        <v>471763.93</v>
      </c>
      <c r="D9" s="94">
        <f>'JUNHO 2021'!D9+'JUNHO 2021'!C9</f>
        <v>3055549.9789999998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7.100000000000001" customHeight="1">
      <c r="A10" s="5"/>
      <c r="B10" s="54" t="s">
        <v>4</v>
      </c>
      <c r="C10" s="55">
        <v>300213.40999999997</v>
      </c>
      <c r="D10" s="94">
        <f>'JUNHO 2021'!D10+'JUNHO 2021'!C10</f>
        <v>1782054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7.100000000000001" customHeight="1">
      <c r="A11" s="5"/>
      <c r="B11" s="54" t="s">
        <v>136</v>
      </c>
      <c r="C11" s="55">
        <v>126693.92</v>
      </c>
      <c r="D11" s="94">
        <f>'JUNHO 2021'!D11+'JUNHO 2021'!C11</f>
        <v>695593.76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17.100000000000001" customHeight="1">
      <c r="A12" s="5"/>
      <c r="B12" s="54" t="s">
        <v>6</v>
      </c>
      <c r="C12" s="55">
        <v>-156994.26999999999</v>
      </c>
      <c r="D12" s="94">
        <f>'JUNHO 2021'!D12+'JUNHO 2021'!C12</f>
        <v>160870.65000000008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7.100000000000001" customHeight="1">
      <c r="A13" s="5"/>
      <c r="B13" s="54" t="s">
        <v>79</v>
      </c>
      <c r="C13" s="55">
        <v>51484.76</v>
      </c>
      <c r="D13" s="94">
        <f>'JUNHO 2021'!D13+'JUNHO 2021'!C13</f>
        <v>301740.88999999996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7.100000000000001" customHeight="1">
      <c r="A14" s="5"/>
      <c r="B14" s="54" t="s">
        <v>80</v>
      </c>
      <c r="C14" s="55">
        <v>21835.4</v>
      </c>
      <c r="D14" s="94">
        <f>'JUNHO 2021'!D14+'JUNHO 2021'!C14</f>
        <v>125653.67000000001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7.100000000000001" customHeight="1">
      <c r="A15" s="5"/>
      <c r="B15" s="54" t="s">
        <v>81</v>
      </c>
      <c r="C15" s="55">
        <v>10726.89</v>
      </c>
      <c r="D15" s="94">
        <f>'JUNHO 2021'!D15+'JUNHO 2021'!C15</f>
        <v>61730.86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7.100000000000001" customHeight="1">
      <c r="A16" s="5"/>
      <c r="B16" s="54" t="s">
        <v>82</v>
      </c>
      <c r="C16" s="55">
        <v>4472.08</v>
      </c>
      <c r="D16" s="94">
        <f>'JUNHO 2021'!D16+'JUNHO 2021'!C16</f>
        <v>25735.850000000002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7.100000000000001" customHeight="1">
      <c r="A17" s="5"/>
      <c r="B17" s="54" t="s">
        <v>83</v>
      </c>
      <c r="C17" s="55">
        <v>15321.61</v>
      </c>
      <c r="D17" s="94">
        <f>'JUNHO 2021'!D17+'JUNHO 2021'!C17</f>
        <v>45004.47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7.100000000000001" customHeight="1">
      <c r="A18" s="5"/>
      <c r="B18" s="54" t="s">
        <v>7</v>
      </c>
      <c r="C18" s="55">
        <v>11365.55</v>
      </c>
      <c r="D18" s="94">
        <f>'JUNHO 2021'!D18+'JUNHO 2021'!C18</f>
        <v>56827.75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7.100000000000001" customHeight="1">
      <c r="A19" s="5"/>
      <c r="B19" s="54" t="s">
        <v>8</v>
      </c>
      <c r="C19" s="55">
        <v>0</v>
      </c>
      <c r="D19" s="94">
        <f>'JUNHO 2021'!D19+'JUNHO 2021'!C19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s="20" customFormat="1" ht="15.75" customHeight="1">
      <c r="A20" s="19"/>
      <c r="B20" s="56" t="s">
        <v>9</v>
      </c>
      <c r="C20" s="57">
        <f>SUM(C9:C19)</f>
        <v>856883.28</v>
      </c>
      <c r="D20" s="57">
        <f>SUM(D9:D19)</f>
        <v>6310761.8789999997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s="20" customFormat="1" ht="15.75" customHeight="1">
      <c r="A22" s="19"/>
      <c r="B22" s="279" t="s">
        <v>10</v>
      </c>
      <c r="C22" s="280" t="s">
        <v>77</v>
      </c>
      <c r="D22" s="281" t="str">
        <f>D7</f>
        <v>JAN A JUN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9"/>
      <c r="C23" s="280"/>
      <c r="D23" s="281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7.100000000000001" customHeight="1">
      <c r="A25" s="5"/>
      <c r="B25" s="54" t="s">
        <v>76</v>
      </c>
      <c r="C25" s="55">
        <v>452316.29</v>
      </c>
      <c r="D25" s="94">
        <f>'JUNHO 2021'!D25+'JUNHO 2021'!C25</f>
        <v>2748788.53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7.100000000000001" customHeight="1">
      <c r="A26" s="5"/>
      <c r="B26" s="54" t="s">
        <v>39</v>
      </c>
      <c r="C26" s="55">
        <v>55988.09</v>
      </c>
      <c r="D26" s="94">
        <f>'JUNHO 2021'!D26+'JUNHO 2021'!C26</f>
        <v>364312.45999999996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7.100000000000001" customHeight="1">
      <c r="A27" s="5"/>
      <c r="B27" s="54" t="s">
        <v>12</v>
      </c>
      <c r="C27" s="63">
        <v>20216.810000000001</v>
      </c>
      <c r="D27" s="94">
        <f>'JUNHO 2021'!D27+'JUNHO 2021'!C27</f>
        <v>153431.6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7.100000000000001" customHeight="1">
      <c r="A28" s="5"/>
      <c r="B28" s="54" t="s">
        <v>13</v>
      </c>
      <c r="C28" s="55">
        <v>1159.6500000000001</v>
      </c>
      <c r="D28" s="94">
        <f>'JUNHO 2021'!D28+'JUNHO 2021'!C28</f>
        <v>6957.9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7.100000000000001" customHeight="1">
      <c r="A29" s="5"/>
      <c r="B29" s="54" t="s">
        <v>41</v>
      </c>
      <c r="C29" s="63">
        <f>563119.55-C25-C26-C27-C28</f>
        <v>33438.710000000072</v>
      </c>
      <c r="D29" s="94">
        <f>'JUNHO 2021'!D29+'JUNHO 2021'!C29</f>
        <v>137197.07000000007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s="20" customFormat="1" ht="17.100000000000001" customHeight="1">
      <c r="A30" s="19"/>
      <c r="B30" s="64" t="s">
        <v>84</v>
      </c>
      <c r="C30" s="65">
        <f>SUM(C25:C29)</f>
        <v>563119.55000000016</v>
      </c>
      <c r="D30" s="65">
        <f>SUM(D25:D29)</f>
        <v>3410687.5599999996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293763.72999999986</v>
      </c>
      <c r="D31" s="68">
        <f>D20-D30</f>
        <v>2900074.3190000001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9" t="s">
        <v>16</v>
      </c>
      <c r="C34" s="281" t="s">
        <v>77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9"/>
      <c r="C35" s="281"/>
      <c r="D35" s="9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5.75" customHeight="1">
      <c r="A36" s="5"/>
      <c r="B36" s="72" t="s">
        <v>17</v>
      </c>
      <c r="C36" s="97" t="s">
        <v>2</v>
      </c>
      <c r="D36" s="9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5.75" customHeight="1">
      <c r="A37" s="5"/>
      <c r="B37" s="54" t="s">
        <v>18</v>
      </c>
      <c r="C37" s="55">
        <v>0</v>
      </c>
      <c r="D37" s="9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5.75" customHeight="1">
      <c r="A38" s="5"/>
      <c r="B38" s="54" t="s">
        <v>19</v>
      </c>
      <c r="C38" s="55">
        <v>0</v>
      </c>
      <c r="D38" s="9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5.75" customHeight="1">
      <c r="A39" s="5"/>
      <c r="B39" s="54" t="s">
        <v>20</v>
      </c>
      <c r="C39" s="55">
        <v>426.86</v>
      </c>
      <c r="D39" s="9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5.75" customHeight="1">
      <c r="A40" s="5"/>
      <c r="B40" s="54" t="s">
        <v>21</v>
      </c>
      <c r="C40" s="55">
        <v>39828.86</v>
      </c>
      <c r="D40" s="9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5.75" customHeight="1">
      <c r="A41" s="5"/>
      <c r="B41" s="54" t="s">
        <v>22</v>
      </c>
      <c r="C41" s="55">
        <v>218.82</v>
      </c>
      <c r="D41" s="9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5.75" customHeight="1">
      <c r="A42" s="5"/>
      <c r="B42" s="61" t="s">
        <v>23</v>
      </c>
      <c r="C42" s="74">
        <f>SUM(C37:C41)</f>
        <v>40474.54</v>
      </c>
      <c r="D42" s="9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5.75" customHeight="1">
      <c r="A43" s="5"/>
      <c r="B43" s="93"/>
      <c r="C43" s="85"/>
      <c r="D43" s="9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5.75" customHeight="1">
      <c r="A44" s="5"/>
      <c r="B44" s="61" t="s">
        <v>24</v>
      </c>
      <c r="C44" s="98" t="s">
        <v>2</v>
      </c>
      <c r="D44" s="9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5.75" customHeight="1">
      <c r="A45" s="5"/>
      <c r="B45" s="54" t="s">
        <v>25</v>
      </c>
      <c r="C45" s="55">
        <f>34465812.65-C42</f>
        <v>34425338.109999999</v>
      </c>
    </row>
    <row r="46" spans="1:20" ht="15.75" customHeight="1">
      <c r="B46" s="54" t="s">
        <v>26</v>
      </c>
      <c r="C46" s="55">
        <v>10668580.5</v>
      </c>
    </row>
    <row r="47" spans="1:20" ht="15.75" customHeight="1">
      <c r="B47" s="54" t="s">
        <v>27</v>
      </c>
      <c r="C47" s="55">
        <v>5405.1</v>
      </c>
    </row>
    <row r="48" spans="1:20" ht="15.75" customHeight="1">
      <c r="B48" s="61" t="s">
        <v>28</v>
      </c>
      <c r="C48" s="74">
        <f>SUM(C45:C47)</f>
        <v>45099323.710000001</v>
      </c>
    </row>
    <row r="49" spans="2:3" ht="15.75" customHeight="1">
      <c r="B49" s="99"/>
      <c r="C49" s="100"/>
    </row>
    <row r="50" spans="2:3" ht="15.75" customHeight="1">
      <c r="B50" s="78" t="s">
        <v>29</v>
      </c>
      <c r="C50" s="79">
        <f>C48+C42</f>
        <v>45139798.25</v>
      </c>
    </row>
    <row r="51" spans="2:3" ht="15.75" customHeight="1">
      <c r="B51" s="93"/>
      <c r="C51" s="85"/>
    </row>
    <row r="52" spans="2:3" ht="15.75" customHeight="1">
      <c r="B52" s="93"/>
      <c r="C52" s="85"/>
    </row>
    <row r="53" spans="2:3" ht="15.75" customHeight="1">
      <c r="B53" s="93"/>
      <c r="C53" s="85"/>
    </row>
    <row r="54" spans="2:3" ht="15.75" customHeight="1">
      <c r="B54" s="93"/>
      <c r="C54" s="85"/>
    </row>
    <row r="55" spans="2:3" ht="15.75" customHeight="1">
      <c r="B55" s="93"/>
      <c r="C55" s="85"/>
    </row>
    <row r="56" spans="2:3" ht="15.75" customHeight="1">
      <c r="B56" s="282" t="s">
        <v>30</v>
      </c>
      <c r="C56" s="282"/>
    </row>
    <row r="57" spans="2:3" ht="15.75" customHeight="1">
      <c r="B57" s="282" t="s">
        <v>42</v>
      </c>
      <c r="C57" s="282"/>
    </row>
    <row r="58" spans="2:3" ht="15.75" customHeight="1">
      <c r="B58" s="282" t="s">
        <v>43</v>
      </c>
      <c r="C58" s="282"/>
    </row>
  </sheetData>
  <mergeCells count="10">
    <mergeCell ref="B34:B35"/>
    <mergeCell ref="C34:C35"/>
    <mergeCell ref="B56:C56"/>
    <mergeCell ref="B57:C57"/>
    <mergeCell ref="B58:C58"/>
    <mergeCell ref="B6:D6"/>
    <mergeCell ref="B7:B8"/>
    <mergeCell ref="B22:B23"/>
    <mergeCell ref="C22:C23"/>
    <mergeCell ref="D22:D23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8"/>
  <sheetViews>
    <sheetView showGridLines="0" workbookViewId="0">
      <selection activeCell="B12" sqref="B12"/>
    </sheetView>
  </sheetViews>
  <sheetFormatPr defaultRowHeight="15.75" customHeight="1"/>
  <cols>
    <col min="1" max="1" width="1.42578125" customWidth="1"/>
    <col min="2" max="2" width="60.5703125" customWidth="1"/>
    <col min="3" max="3" width="15.140625" customWidth="1"/>
    <col min="4" max="4" width="14.7109375" customWidth="1"/>
    <col min="5" max="20" width="9.5703125" customWidth="1"/>
    <col min="21" max="1024" width="9.42578125" customWidth="1"/>
  </cols>
  <sheetData>
    <row r="1" spans="1:20" ht="15.75" customHeight="1">
      <c r="A1" s="5"/>
      <c r="B1" s="80"/>
      <c r="C1" s="81"/>
      <c r="D1" s="10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customHeight="1">
      <c r="A2" s="5"/>
      <c r="B2" s="84"/>
      <c r="C2" s="85"/>
      <c r="D2" s="10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5.75" customHeight="1">
      <c r="A3" s="5"/>
      <c r="B3" s="84"/>
      <c r="C3" s="85"/>
      <c r="D3" s="10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5.75" customHeight="1">
      <c r="A4" s="5"/>
      <c r="B4" s="84"/>
      <c r="C4" s="85"/>
      <c r="D4" s="10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 customHeight="1">
      <c r="A5" s="5"/>
      <c r="B5" s="88"/>
      <c r="C5" s="89"/>
      <c r="D5" s="10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s="20" customFormat="1" ht="24.95" customHeight="1">
      <c r="A6" s="19"/>
      <c r="B6" s="278" t="s">
        <v>0</v>
      </c>
      <c r="C6" s="278"/>
      <c r="D6" s="27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9" t="s">
        <v>1</v>
      </c>
      <c r="C7" s="59" t="s">
        <v>85</v>
      </c>
      <c r="D7" s="60" t="s">
        <v>86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9"/>
      <c r="C8" s="60" t="s">
        <v>2</v>
      </c>
      <c r="D8" s="60" t="s">
        <v>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7.100000000000001" customHeight="1">
      <c r="A9" s="5"/>
      <c r="B9" s="54" t="s">
        <v>3</v>
      </c>
      <c r="C9" s="24">
        <v>486004.39</v>
      </c>
      <c r="D9" s="94">
        <f>'JULHO 2021'!C9+'JULHO 2021'!D9</f>
        <v>3527313.909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7.100000000000001" customHeight="1">
      <c r="A10" s="5"/>
      <c r="B10" s="54" t="s">
        <v>4</v>
      </c>
      <c r="C10" s="55">
        <v>309275.52000000002</v>
      </c>
      <c r="D10" s="94">
        <f>'JULHO 2021'!C10+'JULHO 2021'!D10</f>
        <v>2082267.41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7.100000000000001" customHeight="1">
      <c r="A11" s="5"/>
      <c r="B11" s="54" t="s">
        <v>137</v>
      </c>
      <c r="C11" s="55">
        <v>126693.92</v>
      </c>
      <c r="D11" s="94">
        <f>'JULHO 2021'!C11+'JULHO 2021'!D11</f>
        <v>822287.68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17.100000000000001" customHeight="1">
      <c r="A12" s="5"/>
      <c r="B12" s="54" t="s">
        <v>6</v>
      </c>
      <c r="C12" s="55">
        <v>-250918.8</v>
      </c>
      <c r="D12" s="94">
        <f>'JULHO 2021'!C12+'JULHO 2021'!D12</f>
        <v>3876.380000000092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7.100000000000001" customHeight="1">
      <c r="A13" s="5"/>
      <c r="B13" s="54" t="s">
        <v>91</v>
      </c>
      <c r="C13" s="55">
        <v>51793.67</v>
      </c>
      <c r="D13" s="94">
        <f>'JULHO 2021'!C13+'JULHO 2021'!D13</f>
        <v>353225.64999999997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7.100000000000001" customHeight="1">
      <c r="A14" s="5"/>
      <c r="B14" s="54" t="s">
        <v>92</v>
      </c>
      <c r="C14" s="55">
        <v>21835.67</v>
      </c>
      <c r="D14" s="94">
        <f>'JULHO 2021'!C14+'JULHO 2021'!D14</f>
        <v>147489.07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7.100000000000001" customHeight="1">
      <c r="A15" s="5"/>
      <c r="B15" s="54" t="s">
        <v>93</v>
      </c>
      <c r="C15" s="55">
        <v>10726.89</v>
      </c>
      <c r="D15" s="94">
        <f>'JULHO 2021'!C15+'JULHO 2021'!D15</f>
        <v>72457.75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7.100000000000001" customHeight="1">
      <c r="A16" s="5"/>
      <c r="B16" s="54" t="s">
        <v>94</v>
      </c>
      <c r="C16" s="55">
        <v>15321.61</v>
      </c>
      <c r="D16" s="94">
        <f>'JULHO 2021'!C16+'JULHO 2021'!D16</f>
        <v>30207.93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7.100000000000001" customHeight="1">
      <c r="A17" s="5"/>
      <c r="B17" s="54" t="s">
        <v>95</v>
      </c>
      <c r="C17" s="55">
        <v>4472.08</v>
      </c>
      <c r="D17" s="94">
        <f>'JULHO 2021'!C17+'JULHO 2021'!D17</f>
        <v>60326.080000000002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7.100000000000001" customHeight="1">
      <c r="A18" s="5"/>
      <c r="B18" s="54" t="s">
        <v>7</v>
      </c>
      <c r="C18" s="55">
        <v>11365.55</v>
      </c>
      <c r="D18" s="94">
        <f>'JULHO 2021'!C18+'JULHO 2021'!D18</f>
        <v>68193.3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7.100000000000001" customHeight="1">
      <c r="A19" s="5"/>
      <c r="B19" s="54" t="s">
        <v>8</v>
      </c>
      <c r="C19" s="55">
        <v>0</v>
      </c>
      <c r="D19" s="94">
        <f>'JULHO 2021'!C19+'JULHO 2021'!D19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s="20" customFormat="1" ht="15.75" customHeight="1">
      <c r="A20" s="19"/>
      <c r="B20" s="56" t="s">
        <v>9</v>
      </c>
      <c r="C20" s="57">
        <f>SUM(C9:C19)</f>
        <v>786570.50000000012</v>
      </c>
      <c r="D20" s="57">
        <f>SUM(D9:D19)</f>
        <v>7167645.159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s="20" customFormat="1" ht="15.75" customHeight="1">
      <c r="A22" s="19"/>
      <c r="B22" s="279" t="s">
        <v>10</v>
      </c>
      <c r="C22" s="280" t="s">
        <v>85</v>
      </c>
      <c r="D22" s="281" t="str">
        <f>D7</f>
        <v>JAN A JUL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9"/>
      <c r="C23" s="280"/>
      <c r="D23" s="281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7.100000000000001" customHeight="1">
      <c r="A25" s="5"/>
      <c r="B25" s="54" t="s">
        <v>88</v>
      </c>
      <c r="C25" s="55">
        <v>578051.19999999995</v>
      </c>
      <c r="D25" s="94">
        <f>'JULHO 2021'!C25+'JULHO 2021'!D25</f>
        <v>3201104.82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7.100000000000001" customHeight="1">
      <c r="A26" s="5"/>
      <c r="B26" s="54" t="s">
        <v>39</v>
      </c>
      <c r="C26" s="55">
        <v>57600.75</v>
      </c>
      <c r="D26" s="94">
        <f>'JULHO 2021'!C26+'JULHO 2021'!D26</f>
        <v>420300.54999999993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7.100000000000001" customHeight="1">
      <c r="A27" s="5"/>
      <c r="B27" s="54" t="s">
        <v>12</v>
      </c>
      <c r="C27" s="63">
        <v>27168.04</v>
      </c>
      <c r="D27" s="94">
        <f>'JULHO 2021'!C27+'JULHO 2021'!D27</f>
        <v>173648.41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7.100000000000001" customHeight="1">
      <c r="A28" s="5"/>
      <c r="B28" s="54" t="s">
        <v>13</v>
      </c>
      <c r="C28" s="55">
        <v>1159.6500000000001</v>
      </c>
      <c r="D28" s="94">
        <f>'JULHO 2021'!C28+'JULHO 2021'!D28</f>
        <v>8117.5499999999993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7.100000000000001" customHeight="1">
      <c r="A29" s="5"/>
      <c r="B29" s="54" t="s">
        <v>41</v>
      </c>
      <c r="C29" s="63">
        <v>26700.35</v>
      </c>
      <c r="D29" s="94">
        <f>'JULHO 2021'!C29+'JULHO 2021'!D29</f>
        <v>170635.78000000014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s="20" customFormat="1" ht="17.100000000000001" customHeight="1">
      <c r="A30" s="19"/>
      <c r="B30" s="64" t="s">
        <v>84</v>
      </c>
      <c r="C30" s="65">
        <f>SUM(C25:C29)</f>
        <v>690679.99</v>
      </c>
      <c r="D30" s="65">
        <f>SUM(D25:D29)</f>
        <v>3973807.11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95890.510000000126</v>
      </c>
      <c r="D31" s="68">
        <f>D20-D30</f>
        <v>3193838.0490000001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9" t="s">
        <v>16</v>
      </c>
      <c r="C34" s="281" t="s">
        <v>85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9"/>
      <c r="C35" s="281"/>
      <c r="D35" s="9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5.75" customHeight="1">
      <c r="A36" s="5"/>
      <c r="B36" s="72" t="s">
        <v>17</v>
      </c>
      <c r="C36" s="97" t="s">
        <v>2</v>
      </c>
      <c r="D36" s="9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5.75" customHeight="1">
      <c r="A37" s="5"/>
      <c r="B37" s="54" t="s">
        <v>18</v>
      </c>
      <c r="C37" s="55">
        <v>0</v>
      </c>
      <c r="D37" s="9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5.75" customHeight="1">
      <c r="A38" s="5"/>
      <c r="B38" s="54" t="s">
        <v>19</v>
      </c>
      <c r="C38" s="55">
        <v>0</v>
      </c>
      <c r="D38" s="9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5.75" customHeight="1">
      <c r="A39" s="5"/>
      <c r="B39" s="54" t="s">
        <v>20</v>
      </c>
      <c r="C39" s="55">
        <v>7496.01</v>
      </c>
      <c r="D39" s="9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5.75" customHeight="1">
      <c r="A40" s="5"/>
      <c r="B40" s="54" t="s">
        <v>21</v>
      </c>
      <c r="C40" s="55">
        <v>7206.96</v>
      </c>
      <c r="D40" s="9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5.75" customHeight="1">
      <c r="A41" s="5"/>
      <c r="B41" s="54" t="s">
        <v>22</v>
      </c>
      <c r="C41" s="55">
        <v>169.82</v>
      </c>
      <c r="D41" s="9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5.75" customHeight="1">
      <c r="A42" s="5"/>
      <c r="B42" s="61" t="s">
        <v>23</v>
      </c>
      <c r="C42" s="74">
        <f>SUM(C37:C41)</f>
        <v>14872.79</v>
      </c>
      <c r="D42" s="9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5.75" customHeight="1">
      <c r="A43" s="5"/>
      <c r="B43" s="93"/>
      <c r="C43" s="85"/>
      <c r="D43" s="9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5.75" customHeight="1">
      <c r="A44" s="5"/>
      <c r="B44" s="61" t="s">
        <v>24</v>
      </c>
      <c r="C44" s="98" t="s">
        <v>2</v>
      </c>
      <c r="D44" s="9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5.75" customHeight="1">
      <c r="A45" s="5"/>
      <c r="B45" s="54" t="s">
        <v>25</v>
      </c>
      <c r="C45" s="55">
        <f>34511202.56-C42</f>
        <v>34496329.770000003</v>
      </c>
    </row>
    <row r="46" spans="1:20" ht="15.75" customHeight="1">
      <c r="B46" s="54" t="s">
        <v>26</v>
      </c>
      <c r="C46" s="55">
        <v>10663557.07</v>
      </c>
    </row>
    <row r="47" spans="1:20" ht="15.75" customHeight="1">
      <c r="B47" s="54" t="s">
        <v>27</v>
      </c>
      <c r="C47" s="55">
        <v>5417.89</v>
      </c>
    </row>
    <row r="48" spans="1:20" ht="15.75" customHeight="1">
      <c r="B48" s="61" t="s">
        <v>28</v>
      </c>
      <c r="C48" s="74">
        <f>SUM(C45:C47)</f>
        <v>45165304.730000004</v>
      </c>
    </row>
    <row r="49" spans="2:3" ht="15.75" customHeight="1">
      <c r="B49" s="99"/>
      <c r="C49" s="100"/>
    </row>
    <row r="50" spans="2:3" ht="15.75" customHeight="1">
      <c r="B50" s="78" t="s">
        <v>29</v>
      </c>
      <c r="C50" s="79">
        <f>C48+C42</f>
        <v>45180177.520000003</v>
      </c>
    </row>
    <row r="51" spans="2:3" ht="15.75" customHeight="1">
      <c r="B51" s="93"/>
      <c r="C51" s="85"/>
    </row>
    <row r="52" spans="2:3" ht="15.75" customHeight="1">
      <c r="B52" s="93"/>
      <c r="C52" s="85"/>
    </row>
    <row r="53" spans="2:3" ht="15.75" customHeight="1">
      <c r="B53" s="93"/>
      <c r="C53" s="85"/>
    </row>
    <row r="54" spans="2:3" ht="15.75" customHeight="1">
      <c r="B54" s="93"/>
      <c r="C54" s="85"/>
    </row>
    <row r="55" spans="2:3" ht="15.75" customHeight="1">
      <c r="B55" s="93"/>
      <c r="C55" s="85"/>
    </row>
    <row r="56" spans="2:3" ht="15.75" customHeight="1">
      <c r="B56" s="282" t="s">
        <v>30</v>
      </c>
      <c r="C56" s="282"/>
    </row>
    <row r="57" spans="2:3" ht="15.75" customHeight="1">
      <c r="B57" s="282" t="s">
        <v>42</v>
      </c>
      <c r="C57" s="282"/>
    </row>
    <row r="58" spans="2:3" ht="15.75" customHeight="1">
      <c r="B58" s="282" t="s">
        <v>87</v>
      </c>
      <c r="C58" s="282"/>
    </row>
  </sheetData>
  <mergeCells count="10">
    <mergeCell ref="B56:C56"/>
    <mergeCell ref="B57:C57"/>
    <mergeCell ref="B58:C58"/>
    <mergeCell ref="B6:D6"/>
    <mergeCell ref="B7:B8"/>
    <mergeCell ref="B22:B23"/>
    <mergeCell ref="C22:C23"/>
    <mergeCell ref="D22:D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8"/>
  <sheetViews>
    <sheetView showGridLines="0" workbookViewId="0">
      <selection activeCell="B12" sqref="B12"/>
    </sheetView>
  </sheetViews>
  <sheetFormatPr defaultRowHeight="15.75" customHeight="1"/>
  <cols>
    <col min="1" max="1" width="1.42578125" customWidth="1"/>
    <col min="2" max="2" width="60.5703125" customWidth="1"/>
    <col min="3" max="3" width="15.140625" customWidth="1"/>
    <col min="4" max="4" width="14.7109375" customWidth="1"/>
    <col min="5" max="20" width="9.5703125" customWidth="1"/>
    <col min="21" max="1024" width="9.42578125" customWidth="1"/>
  </cols>
  <sheetData>
    <row r="1" spans="1:20" ht="15.75" customHeight="1">
      <c r="A1" s="5"/>
      <c r="B1" s="80"/>
      <c r="C1" s="81"/>
      <c r="D1" s="10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5.75" customHeight="1">
      <c r="A2" s="5"/>
      <c r="B2" s="84"/>
      <c r="C2" s="85"/>
      <c r="D2" s="10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5.75" customHeight="1">
      <c r="A3" s="5"/>
      <c r="B3" s="84"/>
      <c r="C3" s="85"/>
      <c r="D3" s="10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5.75" customHeight="1">
      <c r="A4" s="5"/>
      <c r="B4" s="84"/>
      <c r="C4" s="85"/>
      <c r="D4" s="102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 customHeight="1">
      <c r="A5" s="5"/>
      <c r="B5" s="88"/>
      <c r="C5" s="89"/>
      <c r="D5" s="10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s="20" customFormat="1" ht="24.95" customHeight="1">
      <c r="A6" s="19"/>
      <c r="B6" s="278" t="s">
        <v>0</v>
      </c>
      <c r="C6" s="278"/>
      <c r="D6" s="27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s="20" customFormat="1" ht="15.75" customHeight="1">
      <c r="A7" s="19"/>
      <c r="B7" s="279" t="s">
        <v>1</v>
      </c>
      <c r="C7" s="59" t="s">
        <v>90</v>
      </c>
      <c r="D7" s="60" t="s">
        <v>89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spans="1:20" ht="15.75" customHeight="1">
      <c r="A8" s="5"/>
      <c r="B8" s="279"/>
      <c r="C8" s="60" t="s">
        <v>2</v>
      </c>
      <c r="D8" s="60" t="s">
        <v>2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7.100000000000001" customHeight="1">
      <c r="A9" s="5"/>
      <c r="B9" s="54" t="s">
        <v>3</v>
      </c>
      <c r="C9" s="24">
        <v>608985.67000000004</v>
      </c>
      <c r="D9" s="94">
        <f>'JULHO 2021'!C9+'JULHO 2021'!D9+'AGOSTO 2021'!C9</f>
        <v>4013318.2990000001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7.100000000000001" customHeight="1">
      <c r="A10" s="5"/>
      <c r="B10" s="54" t="s">
        <v>4</v>
      </c>
      <c r="C10" s="55">
        <v>387536.34</v>
      </c>
      <c r="D10" s="94">
        <f>'JULHO 2021'!C10+'JULHO 2021'!D10+'AGOSTO 2021'!C10</f>
        <v>2391542.9299999997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7.100000000000001" customHeight="1">
      <c r="A11" s="5"/>
      <c r="B11" s="54" t="s">
        <v>138</v>
      </c>
      <c r="C11" s="55">
        <v>126693.92</v>
      </c>
      <c r="D11" s="94">
        <f>'JULHO 2021'!C11+'JULHO 2021'!D11+'AGOSTO 2021'!C11</f>
        <v>948981.60000000009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17.100000000000001" customHeight="1">
      <c r="A12" s="5"/>
      <c r="B12" s="54" t="s">
        <v>6</v>
      </c>
      <c r="C12" s="55">
        <v>-128616.75</v>
      </c>
      <c r="D12" s="94">
        <f>'JULHO 2021'!C12+'JULHO 2021'!D12+'AGOSTO 2021'!C12</f>
        <v>-247042.4199999999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7.100000000000001" customHeight="1">
      <c r="A13" s="5"/>
      <c r="B13" s="54" t="s">
        <v>96</v>
      </c>
      <c r="C13" s="55">
        <v>52321.97</v>
      </c>
      <c r="D13" s="94">
        <f>'JULHO 2021'!C13+'JULHO 2021'!D13+'AGOSTO 2021'!C13</f>
        <v>405019.31999999995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7.100000000000001" customHeight="1">
      <c r="A14" s="5"/>
      <c r="B14" s="54" t="s">
        <v>97</v>
      </c>
      <c r="C14" s="55">
        <v>22411.71</v>
      </c>
      <c r="D14" s="94">
        <f>'JULHO 2021'!C14+'JULHO 2021'!D14+'AGOSTO 2021'!C14</f>
        <v>169324.74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7.100000000000001" customHeight="1">
      <c r="A15" s="5"/>
      <c r="B15" s="54" t="s">
        <v>98</v>
      </c>
      <c r="C15" s="55">
        <v>11009.89</v>
      </c>
      <c r="D15" s="94">
        <f>'JULHO 2021'!C15+'JULHO 2021'!D15+'AGOSTO 2021'!C15</f>
        <v>83184.639999999999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7.100000000000001" customHeight="1">
      <c r="A16" s="5"/>
      <c r="B16" s="54" t="s">
        <v>99</v>
      </c>
      <c r="C16" s="55">
        <v>4590.0600000000004</v>
      </c>
      <c r="D16" s="94">
        <f>'JULHO 2021'!C16+'JULHO 2021'!D16+'AGOSTO 2021'!C16</f>
        <v>45529.54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7.100000000000001" customHeight="1">
      <c r="A17" s="5"/>
      <c r="B17" s="54" t="s">
        <v>100</v>
      </c>
      <c r="C17" s="55">
        <v>15726.1</v>
      </c>
      <c r="D17" s="94">
        <f>'JULHO 2021'!C17+'JULHO 2021'!D17+'AGOSTO 2021'!C17</f>
        <v>64798.16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7.100000000000001" customHeight="1">
      <c r="A18" s="5"/>
      <c r="B18" s="54" t="s">
        <v>7</v>
      </c>
      <c r="C18" s="55">
        <v>11365.55</v>
      </c>
      <c r="D18" s="94">
        <f>'JULHO 2021'!C18+'JULHO 2021'!D18+'AGOSTO 2021'!C18</f>
        <v>79558.850000000006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7.100000000000001" customHeight="1">
      <c r="A19" s="5"/>
      <c r="B19" s="54" t="s">
        <v>8</v>
      </c>
      <c r="C19" s="55">
        <v>0</v>
      </c>
      <c r="D19" s="94">
        <f>'JULHO 2021'!C19+'JULHO 2021'!D19+'AGOSTO 2021'!C19</f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s="20" customFormat="1" ht="15.75" customHeight="1">
      <c r="A20" s="19"/>
      <c r="B20" s="56" t="s">
        <v>9</v>
      </c>
      <c r="C20" s="57">
        <f>SUM(C9:C19)</f>
        <v>1112024.46</v>
      </c>
      <c r="D20" s="57">
        <f>SUM(D9:D19)</f>
        <v>7954215.659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</row>
    <row r="21" spans="1:20" ht="15.75" customHeight="1">
      <c r="A21" s="5"/>
      <c r="B21" s="93"/>
      <c r="C21" s="85"/>
      <c r="D21" s="9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s="20" customFormat="1" ht="15.75" customHeight="1">
      <c r="A22" s="19"/>
      <c r="B22" s="279" t="s">
        <v>10</v>
      </c>
      <c r="C22" s="280" t="s">
        <v>90</v>
      </c>
      <c r="D22" s="281" t="str">
        <f>D7</f>
        <v>JAN A AGO 2021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5.75" customHeight="1">
      <c r="A23" s="5"/>
      <c r="B23" s="279"/>
      <c r="C23" s="280"/>
      <c r="D23" s="281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7.100000000000001" customHeight="1">
      <c r="A24" s="5"/>
      <c r="B24" s="61" t="s">
        <v>11</v>
      </c>
      <c r="C24" s="61" t="s">
        <v>2</v>
      </c>
      <c r="D24" s="61" t="s">
        <v>2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7.100000000000001" customHeight="1">
      <c r="A25" s="5"/>
      <c r="B25" s="54" t="s">
        <v>88</v>
      </c>
      <c r="C25" s="55">
        <v>480007.38</v>
      </c>
      <c r="D25" s="94">
        <f>'JULHO 2021'!C25+'JULHO 2021'!D25+'AGOSTO 2021'!C25</f>
        <v>3779156.0199999996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7.100000000000001" customHeight="1">
      <c r="A26" s="5"/>
      <c r="B26" s="54" t="s">
        <v>39</v>
      </c>
      <c r="C26" s="55">
        <v>56189.67</v>
      </c>
      <c r="D26" s="94">
        <f>'JULHO 2021'!C26+'JULHO 2021'!D26+'AGOSTO 2021'!C26</f>
        <v>477901.29999999993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7.100000000000001" customHeight="1">
      <c r="A27" s="5"/>
      <c r="B27" s="54" t="s">
        <v>12</v>
      </c>
      <c r="C27" s="63">
        <v>18582.68</v>
      </c>
      <c r="D27" s="94">
        <f>'JULHO 2021'!C27+'JULHO 2021'!D27+'AGOSTO 2021'!C27</f>
        <v>200816.45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7.100000000000001" customHeight="1">
      <c r="A28" s="5"/>
      <c r="B28" s="54" t="s">
        <v>13</v>
      </c>
      <c r="C28" s="55">
        <v>1159.6500000000001</v>
      </c>
      <c r="D28" s="94">
        <f>'JULHO 2021'!C28+'JULHO 2021'!D28+'AGOSTO 2021'!C28</f>
        <v>9277.1999999999989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7.100000000000001" customHeight="1">
      <c r="A29" s="5"/>
      <c r="B29" s="54" t="s">
        <v>41</v>
      </c>
      <c r="C29" s="63">
        <v>30999.14</v>
      </c>
      <c r="D29" s="94">
        <f>'JULHO 2021'!C29+'JULHO 2021'!D29+'AGOSTO 2021'!C29</f>
        <v>197336.13000000015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s="20" customFormat="1" ht="17.100000000000001" customHeight="1">
      <c r="A30" s="19"/>
      <c r="B30" s="64" t="s">
        <v>84</v>
      </c>
      <c r="C30" s="65">
        <f>SUM(C25:C29)</f>
        <v>586938.52000000014</v>
      </c>
      <c r="D30" s="65">
        <f>SUM(D25:D29)</f>
        <v>4664487.0999999996</v>
      </c>
      <c r="E30" s="104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s="20" customFormat="1" ht="17.100000000000001" customHeight="1">
      <c r="A31" s="19"/>
      <c r="B31" s="66" t="s">
        <v>14</v>
      </c>
      <c r="C31" s="67">
        <f>C20-C30</f>
        <v>525085.93999999983</v>
      </c>
      <c r="D31" s="68">
        <f>D20-D30</f>
        <v>3289728.5590000004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.75" customHeight="1">
      <c r="A32" s="5"/>
      <c r="B32" s="93"/>
      <c r="C32" s="85"/>
      <c r="D32" s="9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s="20" customFormat="1" ht="15.75" customHeight="1">
      <c r="A33" s="19"/>
      <c r="B33" s="69" t="s">
        <v>15</v>
      </c>
      <c r="C33" s="70"/>
      <c r="D33" s="96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s="20" customFormat="1" ht="15.75" customHeight="1">
      <c r="A34" s="19"/>
      <c r="B34" s="279" t="s">
        <v>16</v>
      </c>
      <c r="C34" s="280" t="s">
        <v>90</v>
      </c>
      <c r="D34" s="96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1:20" ht="15.75" customHeight="1">
      <c r="A35" s="5"/>
      <c r="B35" s="279"/>
      <c r="C35" s="280"/>
      <c r="D35" s="96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5.75" customHeight="1">
      <c r="A36" s="5"/>
      <c r="B36" s="72" t="s">
        <v>17</v>
      </c>
      <c r="C36" s="97" t="s">
        <v>2</v>
      </c>
      <c r="D36" s="9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5.75" customHeight="1">
      <c r="A37" s="5"/>
      <c r="B37" s="54" t="s">
        <v>18</v>
      </c>
      <c r="C37" s="55">
        <v>0</v>
      </c>
      <c r="D37" s="96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5.75" customHeight="1">
      <c r="A38" s="5"/>
      <c r="B38" s="54" t="s">
        <v>19</v>
      </c>
      <c r="C38" s="55">
        <v>0</v>
      </c>
      <c r="D38" s="96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5.75" customHeight="1">
      <c r="A39" s="5"/>
      <c r="B39" s="54" t="s">
        <v>20</v>
      </c>
      <c r="C39" s="55">
        <v>7186.78</v>
      </c>
      <c r="D39" s="96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5.75" customHeight="1">
      <c r="A40" s="5"/>
      <c r="B40" s="54" t="s">
        <v>21</v>
      </c>
      <c r="C40" s="55">
        <v>9849.7999999999993</v>
      </c>
      <c r="D40" s="96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5.75" customHeight="1">
      <c r="A41" s="5"/>
      <c r="B41" s="54" t="s">
        <v>22</v>
      </c>
      <c r="C41" s="55">
        <v>84.32</v>
      </c>
      <c r="D41" s="9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5.75" customHeight="1">
      <c r="A42" s="5"/>
      <c r="B42" s="61" t="s">
        <v>23</v>
      </c>
      <c r="C42" s="74">
        <f>SUM(C37:C41)</f>
        <v>17120.899999999998</v>
      </c>
      <c r="D42" s="96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5.75" customHeight="1">
      <c r="A43" s="5"/>
      <c r="B43" s="93"/>
      <c r="C43" s="85"/>
      <c r="D43" s="96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5.75" customHeight="1">
      <c r="A44" s="5"/>
      <c r="B44" s="61" t="s">
        <v>24</v>
      </c>
      <c r="C44" s="98" t="s">
        <v>2</v>
      </c>
      <c r="D44" s="96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5.75" customHeight="1">
      <c r="A45" s="5"/>
      <c r="B45" s="54" t="s">
        <v>25</v>
      </c>
      <c r="C45" s="55">
        <f>34841392.81-C42</f>
        <v>34824271.910000004</v>
      </c>
    </row>
    <row r="46" spans="1:20" ht="15.75" customHeight="1">
      <c r="B46" s="54" t="s">
        <v>26</v>
      </c>
      <c r="C46" s="55">
        <v>10683664.949999999</v>
      </c>
    </row>
    <row r="47" spans="1:20" ht="15.75" customHeight="1">
      <c r="B47" s="54" t="s">
        <v>27</v>
      </c>
      <c r="C47" s="55">
        <v>5445.04</v>
      </c>
    </row>
    <row r="48" spans="1:20" ht="15.75" customHeight="1">
      <c r="B48" s="61" t="s">
        <v>28</v>
      </c>
      <c r="C48" s="74">
        <f>SUM(C45:C47)</f>
        <v>45513381.899999999</v>
      </c>
    </row>
    <row r="49" spans="2:3" ht="15.75" customHeight="1">
      <c r="B49" s="99"/>
      <c r="C49" s="100"/>
    </row>
    <row r="50" spans="2:3" ht="15.75" customHeight="1">
      <c r="B50" s="78" t="s">
        <v>29</v>
      </c>
      <c r="C50" s="79">
        <f>C48+C42</f>
        <v>45530502.799999997</v>
      </c>
    </row>
    <row r="51" spans="2:3" ht="15.75" customHeight="1">
      <c r="B51" s="93"/>
      <c r="C51" s="85"/>
    </row>
    <row r="52" spans="2:3" ht="15.75" customHeight="1">
      <c r="B52" s="93"/>
      <c r="C52" s="85"/>
    </row>
    <row r="53" spans="2:3" ht="15.75" customHeight="1">
      <c r="B53" s="93"/>
      <c r="C53" s="85"/>
    </row>
    <row r="54" spans="2:3" ht="15.75" customHeight="1">
      <c r="B54" s="93"/>
      <c r="C54" s="85"/>
    </row>
    <row r="55" spans="2:3" ht="15.75" customHeight="1">
      <c r="B55" s="93"/>
      <c r="C55" s="85"/>
    </row>
    <row r="56" spans="2:3" ht="15.75" customHeight="1">
      <c r="B56" s="282" t="s">
        <v>30</v>
      </c>
      <c r="C56" s="282"/>
    </row>
    <row r="57" spans="2:3" ht="15.75" customHeight="1">
      <c r="B57" s="282" t="s">
        <v>42</v>
      </c>
      <c r="C57" s="282"/>
    </row>
    <row r="58" spans="2:3" ht="15.75" customHeight="1">
      <c r="B58" s="282" t="s">
        <v>87</v>
      </c>
      <c r="C58" s="282"/>
    </row>
  </sheetData>
  <mergeCells count="10">
    <mergeCell ref="B56:C56"/>
    <mergeCell ref="B57:C57"/>
    <mergeCell ref="B58:C58"/>
    <mergeCell ref="B6:D6"/>
    <mergeCell ref="B7:B8"/>
    <mergeCell ref="B22:B23"/>
    <mergeCell ref="C22:C23"/>
    <mergeCell ref="D22:D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8"/>
  <sheetViews>
    <sheetView showGridLines="0" workbookViewId="0">
      <selection activeCell="B12" sqref="B12"/>
    </sheetView>
  </sheetViews>
  <sheetFormatPr defaultRowHeight="15.75" customHeight="1"/>
  <cols>
    <col min="1" max="1" width="16.85546875" style="108" customWidth="1"/>
    <col min="2" max="2" width="59.7109375" style="108" customWidth="1"/>
    <col min="3" max="3" width="20" style="108" bestFit="1" customWidth="1"/>
    <col min="4" max="19" width="9.5703125" style="108" customWidth="1"/>
    <col min="20" max="1023" width="9.42578125" style="108" customWidth="1"/>
    <col min="1024" max="16384" width="9.140625" style="108"/>
  </cols>
  <sheetData>
    <row r="1" spans="1:19" ht="15.75" customHeight="1">
      <c r="A1" s="106"/>
      <c r="B1" s="106"/>
      <c r="C1" s="107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19" ht="15.75" customHeight="1">
      <c r="A2" s="106"/>
      <c r="B2" s="106"/>
      <c r="C2" s="109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ht="15.75" customHeight="1">
      <c r="A3" s="106"/>
      <c r="B3" s="106"/>
      <c r="C3" s="109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</row>
    <row r="4" spans="1:19" ht="15.75" customHeight="1">
      <c r="A4" s="106"/>
      <c r="B4" s="106"/>
      <c r="C4" s="109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</row>
    <row r="5" spans="1:19" ht="15.75" customHeight="1">
      <c r="A5" s="106"/>
      <c r="B5" s="106"/>
      <c r="C5" s="110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</row>
    <row r="6" spans="1:19" s="112" customFormat="1" ht="24.95" customHeight="1">
      <c r="A6" s="111"/>
      <c r="B6" s="286" t="s">
        <v>0</v>
      </c>
      <c r="C6" s="286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s="112" customFormat="1" ht="15.75" customHeight="1">
      <c r="A7" s="111"/>
      <c r="B7" s="287" t="s">
        <v>1</v>
      </c>
      <c r="C7" s="113" t="s">
        <v>101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</row>
    <row r="8" spans="1:19" ht="15.75" customHeight="1">
      <c r="A8" s="106"/>
      <c r="B8" s="287"/>
      <c r="C8" s="137" t="s">
        <v>2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</row>
    <row r="9" spans="1:19" ht="17.100000000000001" customHeight="1">
      <c r="A9" s="106"/>
      <c r="B9" s="136" t="s">
        <v>3</v>
      </c>
      <c r="C9" s="138">
        <v>606163.43000000005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</row>
    <row r="10" spans="1:19" ht="17.100000000000001" customHeight="1">
      <c r="A10" s="106"/>
      <c r="B10" s="114" t="s">
        <v>4</v>
      </c>
      <c r="C10" s="135">
        <v>384175.16</v>
      </c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</row>
    <row r="11" spans="1:19" ht="17.100000000000001" customHeight="1">
      <c r="A11" s="106"/>
      <c r="B11" s="114" t="s">
        <v>139</v>
      </c>
      <c r="C11" s="115">
        <v>126693.92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</row>
    <row r="12" spans="1:19" ht="17.100000000000001" customHeight="1">
      <c r="A12" s="106"/>
      <c r="B12" s="114" t="s">
        <v>6</v>
      </c>
      <c r="C12" s="115">
        <v>-522151.34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</row>
    <row r="13" spans="1:19" ht="17.100000000000001" customHeight="1">
      <c r="A13" s="106"/>
      <c r="B13" s="114" t="s">
        <v>103</v>
      </c>
      <c r="C13" s="115">
        <v>52780.28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</row>
    <row r="14" spans="1:19" ht="17.100000000000001" customHeight="1">
      <c r="A14" s="106"/>
      <c r="B14" s="114" t="s">
        <v>104</v>
      </c>
      <c r="C14" s="115">
        <v>22722.75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</row>
    <row r="15" spans="1:19" ht="17.100000000000001" customHeight="1">
      <c r="A15" s="106"/>
      <c r="B15" s="114" t="s">
        <v>105</v>
      </c>
      <c r="C15" s="115">
        <v>11162.33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</row>
    <row r="16" spans="1:19" ht="17.100000000000001" customHeight="1">
      <c r="A16" s="106"/>
      <c r="B16" s="114" t="s">
        <v>106</v>
      </c>
      <c r="C16" s="115">
        <v>4653.6099999999997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</row>
    <row r="17" spans="1:19" ht="17.100000000000001" customHeight="1">
      <c r="A17" s="106"/>
      <c r="B17" s="114" t="s">
        <v>107</v>
      </c>
      <c r="C17" s="115">
        <v>15942.38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</row>
    <row r="18" spans="1:19" ht="17.100000000000001" customHeight="1">
      <c r="A18" s="106"/>
      <c r="B18" s="114" t="s">
        <v>7</v>
      </c>
      <c r="C18" s="115">
        <v>0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</row>
    <row r="19" spans="1:19" ht="17.100000000000001" customHeight="1">
      <c r="A19" s="106"/>
      <c r="B19" s="114" t="s">
        <v>8</v>
      </c>
      <c r="C19" s="115">
        <v>0</v>
      </c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</row>
    <row r="20" spans="1:19" s="112" customFormat="1" ht="15.75" customHeight="1">
      <c r="A20" s="111"/>
      <c r="B20" s="116" t="s">
        <v>9</v>
      </c>
      <c r="C20" s="117">
        <f>SUM(C9:C19)</f>
        <v>702142.5199999999</v>
      </c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</row>
    <row r="21" spans="1:19" ht="15.75" customHeight="1">
      <c r="A21" s="106"/>
      <c r="B21" s="106"/>
      <c r="C21" s="109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</row>
    <row r="22" spans="1:19" s="112" customFormat="1" ht="15.75" customHeight="1">
      <c r="A22" s="111"/>
      <c r="B22" s="287" t="s">
        <v>10</v>
      </c>
      <c r="C22" s="288" t="s">
        <v>101</v>
      </c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</row>
    <row r="23" spans="1:19" ht="15.75" customHeight="1">
      <c r="A23" s="106"/>
      <c r="B23" s="287"/>
      <c r="C23" s="288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</row>
    <row r="24" spans="1:19" ht="17.100000000000001" customHeight="1">
      <c r="A24" s="106"/>
      <c r="B24" s="118" t="s">
        <v>11</v>
      </c>
      <c r="C24" s="118" t="s">
        <v>2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</row>
    <row r="25" spans="1:19" ht="17.100000000000001" customHeight="1">
      <c r="A25" s="106"/>
      <c r="B25" s="114" t="s">
        <v>88</v>
      </c>
      <c r="C25" s="115">
        <v>480847.39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</row>
    <row r="26" spans="1:19" ht="17.100000000000001" customHeight="1">
      <c r="A26" s="106"/>
      <c r="B26" s="114" t="s">
        <v>39</v>
      </c>
      <c r="C26" s="115">
        <v>56189.67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</row>
    <row r="27" spans="1:19" ht="17.100000000000001" customHeight="1">
      <c r="A27" s="106"/>
      <c r="B27" s="114" t="s">
        <v>109</v>
      </c>
      <c r="C27" s="119">
        <v>17935.82</v>
      </c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</row>
    <row r="28" spans="1:19" ht="17.100000000000001" customHeight="1">
      <c r="A28" s="106"/>
      <c r="B28" s="114" t="s">
        <v>13</v>
      </c>
      <c r="C28" s="115">
        <v>0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</row>
    <row r="29" spans="1:19" ht="17.100000000000001" customHeight="1">
      <c r="A29" s="106"/>
      <c r="B29" s="114" t="s">
        <v>41</v>
      </c>
      <c r="C29" s="119">
        <f>574551.07-C25-C26-C27-C28</f>
        <v>19578.189999999937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</row>
    <row r="30" spans="1:19" s="112" customFormat="1" ht="17.100000000000001" customHeight="1">
      <c r="A30" s="111"/>
      <c r="B30" s="120" t="s">
        <v>84</v>
      </c>
      <c r="C30" s="121">
        <f>SUM(C25:C29)</f>
        <v>574551.06999999995</v>
      </c>
      <c r="D30" s="122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</row>
    <row r="31" spans="1:19" s="112" customFormat="1" ht="17.100000000000001" customHeight="1">
      <c r="A31" s="111"/>
      <c r="B31" s="123" t="s">
        <v>14</v>
      </c>
      <c r="C31" s="124">
        <f>C20-C30</f>
        <v>127591.44999999995</v>
      </c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</row>
    <row r="32" spans="1:19" ht="15.75" customHeight="1">
      <c r="A32" s="106"/>
      <c r="B32" s="106"/>
      <c r="C32" s="109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</row>
    <row r="33" spans="1:19" s="112" customFormat="1" ht="15.75" customHeight="1">
      <c r="A33" s="111"/>
      <c r="B33" s="125" t="s">
        <v>15</v>
      </c>
      <c r="C33" s="126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</row>
    <row r="34" spans="1:19" s="112" customFormat="1" ht="15.75" customHeight="1">
      <c r="A34" s="111"/>
      <c r="B34" s="287" t="s">
        <v>16</v>
      </c>
      <c r="C34" s="288" t="s">
        <v>101</v>
      </c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</row>
    <row r="35" spans="1:19" ht="15.75" customHeight="1">
      <c r="A35" s="106"/>
      <c r="B35" s="287"/>
      <c r="C35" s="288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</row>
    <row r="36" spans="1:19" ht="15.75" customHeight="1">
      <c r="A36" s="106"/>
      <c r="B36" s="127" t="s">
        <v>17</v>
      </c>
      <c r="C36" s="128" t="s">
        <v>2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</row>
    <row r="37" spans="1:19" ht="15.75" customHeight="1">
      <c r="A37" s="106"/>
      <c r="B37" s="114" t="s">
        <v>18</v>
      </c>
      <c r="C37" s="115">
        <v>0</v>
      </c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</row>
    <row r="38" spans="1:19" ht="15.75" customHeight="1">
      <c r="A38" s="106"/>
      <c r="B38" s="114" t="s">
        <v>19</v>
      </c>
      <c r="C38" s="115">
        <v>0</v>
      </c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1:19" ht="15.75" customHeight="1">
      <c r="A39" s="106"/>
      <c r="B39" s="114" t="s">
        <v>20</v>
      </c>
      <c r="C39" s="115">
        <v>1817.15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</row>
    <row r="40" spans="1:19" ht="15.75" customHeight="1">
      <c r="A40" s="106"/>
      <c r="B40" s="114" t="s">
        <v>21</v>
      </c>
      <c r="C40" s="115">
        <v>64316.21</v>
      </c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</row>
    <row r="41" spans="1:19" ht="15.75" customHeight="1">
      <c r="A41" s="106"/>
      <c r="B41" s="114" t="s">
        <v>22</v>
      </c>
      <c r="C41" s="115">
        <v>35.32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</row>
    <row r="42" spans="1:19" ht="15.75" customHeight="1">
      <c r="A42" s="106"/>
      <c r="B42" s="118" t="s">
        <v>23</v>
      </c>
      <c r="C42" s="129">
        <f>SUM(C37:C41)</f>
        <v>66168.680000000008</v>
      </c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</row>
    <row r="43" spans="1:19" ht="15.75" customHeight="1">
      <c r="A43" s="106"/>
      <c r="B43" s="106"/>
      <c r="C43" s="109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</row>
    <row r="44" spans="1:19" ht="15.75" customHeight="1">
      <c r="A44" s="106"/>
      <c r="B44" s="118" t="s">
        <v>24</v>
      </c>
      <c r="C44" s="130" t="s">
        <v>2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</row>
    <row r="45" spans="1:19" ht="15.75" customHeight="1">
      <c r="A45" s="106"/>
      <c r="B45" s="114" t="s">
        <v>25</v>
      </c>
      <c r="C45" s="115">
        <f>35111631.65-C39-C40-C41</f>
        <v>35045462.969999999</v>
      </c>
    </row>
    <row r="46" spans="1:19" ht="15.75" customHeight="1">
      <c r="B46" s="114" t="s">
        <v>26</v>
      </c>
      <c r="C46" s="115">
        <v>10578601.199999999</v>
      </c>
    </row>
    <row r="47" spans="1:19" ht="15.75" customHeight="1">
      <c r="B47" s="114" t="s">
        <v>27</v>
      </c>
      <c r="C47" s="115">
        <v>5860.31</v>
      </c>
    </row>
    <row r="48" spans="1:19" ht="15.75" customHeight="1">
      <c r="B48" s="118" t="s">
        <v>28</v>
      </c>
      <c r="C48" s="129">
        <f>SUM(C45:C47)</f>
        <v>45629924.480000004</v>
      </c>
    </row>
    <row r="49" spans="2:3" ht="15.75" customHeight="1">
      <c r="B49" s="131"/>
      <c r="C49" s="132"/>
    </row>
    <row r="50" spans="2:3" ht="15.75" customHeight="1">
      <c r="B50" s="133" t="s">
        <v>29</v>
      </c>
      <c r="C50" s="134">
        <f>C48+C42</f>
        <v>45696093.160000004</v>
      </c>
    </row>
    <row r="51" spans="2:3" ht="15.75" customHeight="1">
      <c r="B51" s="106"/>
      <c r="C51" s="109"/>
    </row>
    <row r="52" spans="2:3" ht="15.75" customHeight="1">
      <c r="B52" s="106"/>
      <c r="C52" s="109"/>
    </row>
    <row r="53" spans="2:3" ht="15.75" customHeight="1">
      <c r="B53" s="106"/>
      <c r="C53" s="109"/>
    </row>
    <row r="54" spans="2:3" ht="15.75" customHeight="1">
      <c r="B54" s="106"/>
      <c r="C54" s="109"/>
    </row>
    <row r="55" spans="2:3" ht="15.75" customHeight="1">
      <c r="B55" s="106"/>
      <c r="C55" s="109"/>
    </row>
    <row r="56" spans="2:3" ht="15.75" customHeight="1">
      <c r="B56" s="284" t="s">
        <v>30</v>
      </c>
      <c r="C56" s="284"/>
    </row>
    <row r="57" spans="2:3" ht="15.75" customHeight="1">
      <c r="B57" s="285" t="s">
        <v>117</v>
      </c>
      <c r="C57" s="285"/>
    </row>
    <row r="58" spans="2:3" ht="15.75" customHeight="1">
      <c r="B58" s="284" t="s">
        <v>102</v>
      </c>
      <c r="C58" s="284"/>
    </row>
  </sheetData>
  <mergeCells count="9">
    <mergeCell ref="B56:C56"/>
    <mergeCell ref="B57:C57"/>
    <mergeCell ref="B58:C58"/>
    <mergeCell ref="B6:C6"/>
    <mergeCell ref="B7:B8"/>
    <mergeCell ref="B22:B23"/>
    <mergeCell ref="C22:C23"/>
    <mergeCell ref="B34:B35"/>
    <mergeCell ref="C34:C35"/>
  </mergeCells>
  <pageMargins left="0.78740157480314954" right="0.78740157480314954" top="1.1811023622047245" bottom="1.1811023622047245" header="0.78740157480314954" footer="0.78740157480314954"/>
  <pageSetup paperSize="9" scale="73" fitToWidth="0" pageOrder="overThenDown" orientation="portrait" r:id="rId1"/>
  <headerFooter alignWithMargins="0">
    <oddHeader>&amp;C&amp;"Times New Roman,Regular"&amp;12&amp;A</oddHeader>
    <oddFooter>&amp;C&amp;"Times New Roman,Regular"&amp;12Página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25</vt:i4>
      </vt:variant>
      <vt:variant>
        <vt:lpstr>Intervalos nomeados</vt:lpstr>
      </vt:variant>
      <vt:variant>
        <vt:i4>3</vt:i4>
      </vt:variant>
    </vt:vector>
  </HeadingPairs>
  <TitlesOfParts>
    <vt:vector size="28" baseType="lpstr">
      <vt:lpstr>JANEIRO 2021</vt:lpstr>
      <vt:lpstr>MARÇO 2021</vt:lpstr>
      <vt:lpstr>ABRIL 2021</vt:lpstr>
      <vt:lpstr>MAIO 2021</vt:lpstr>
      <vt:lpstr>JUNHO 2021</vt:lpstr>
      <vt:lpstr>JULHO 2021</vt:lpstr>
      <vt:lpstr>AGOSTO 2021</vt:lpstr>
      <vt:lpstr>SETEMBRO 2021</vt:lpstr>
      <vt:lpstr>OUTUBRO 2021</vt:lpstr>
      <vt:lpstr>NOVEMBRO 2021</vt:lpstr>
      <vt:lpstr>DEZEMBRO 2021</vt:lpstr>
      <vt:lpstr>JANEIRO 2022</vt:lpstr>
      <vt:lpstr>FEVEREIRO 2022</vt:lpstr>
      <vt:lpstr>MARÇO 2022</vt:lpstr>
      <vt:lpstr>ABRIL 2022</vt:lpstr>
      <vt:lpstr>MAIO 2022</vt:lpstr>
      <vt:lpstr>JUNHO 2022</vt:lpstr>
      <vt:lpstr>JULHO 2022</vt:lpstr>
      <vt:lpstr>AGOSTO 2022</vt:lpstr>
      <vt:lpstr>SETEMBRO 2022</vt:lpstr>
      <vt:lpstr>OUTUBRO 2022 </vt:lpstr>
      <vt:lpstr>NOVEMBRO 2022</vt:lpstr>
      <vt:lpstr>DEZEMBRO 2022</vt:lpstr>
      <vt:lpstr>JANEIRO 2023</vt:lpstr>
      <vt:lpstr>2024</vt:lpstr>
      <vt:lpstr>'2024'!Area_de_impressao</vt:lpstr>
      <vt:lpstr>'JANEIRO 2021'!Area_de_impressao</vt:lpstr>
      <vt:lpstr>'JANEIRO 2021'!Excel_BuiltIn_Print_Area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Stock - Gestão Comercial SSE</dc:creator>
  <cp:lastModifiedBy>Usuario</cp:lastModifiedBy>
  <cp:revision>22</cp:revision>
  <cp:lastPrinted>2024-08-12T21:04:17Z</cp:lastPrinted>
  <dcterms:created xsi:type="dcterms:W3CDTF">2020-07-12T19:32:13Z</dcterms:created>
  <dcterms:modified xsi:type="dcterms:W3CDTF">2024-09-12T21:26:01Z</dcterms:modified>
</cp:coreProperties>
</file>