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a\Setor FINANCEIRO\Financeiro Juliane\Documentos Conselhos\2023\Julho\"/>
    </mc:Choice>
  </mc:AlternateContent>
  <xr:revisionPtr revIDLastSave="0" documentId="13_ncr:1_{A2221927-1998-4C5E-8E67-247F7DAF0B23}" xr6:coauthVersionLast="47" xr6:coauthVersionMax="47" xr10:uidLastSave="{00000000-0000-0000-0000-000000000000}"/>
  <bookViews>
    <workbookView xWindow="-120" yWindow="-120" windowWidth="29040" windowHeight="15840" firstSheet="21" activeTab="29" xr2:uid="{00000000-000D-0000-FFFF-FFFF00000000}"/>
  </bookViews>
  <sheets>
    <sheet name="JANEIRO 2021" sheetId="13" r:id="rId1"/>
    <sheet name="MARÇO 2021" sheetId="14" r:id="rId2"/>
    <sheet name="ABRIL 2021" sheetId="15" r:id="rId3"/>
    <sheet name="MAIO 2021" sheetId="16" r:id="rId4"/>
    <sheet name="JUNHO 2021" sheetId="17" r:id="rId5"/>
    <sheet name="JULHO 2021" sheetId="18" r:id="rId6"/>
    <sheet name="AGOSTO 2021" sheetId="19" r:id="rId7"/>
    <sheet name="SETEMBRO 2021" sheetId="20" r:id="rId8"/>
    <sheet name="OUTUBRO 2021" sheetId="21" r:id="rId9"/>
    <sheet name="NOVEMBRO 2021" sheetId="22" r:id="rId10"/>
    <sheet name="DEZEMBRO 2021" sheetId="23" r:id="rId11"/>
    <sheet name="JANEIRO 2022" sheetId="24" r:id="rId12"/>
    <sheet name="FEVEREIRO 2022" sheetId="25" r:id="rId13"/>
    <sheet name="MARÇO 2022" sheetId="26" r:id="rId14"/>
    <sheet name="ABRIL 2022" sheetId="27" r:id="rId15"/>
    <sheet name="MAIO 2022" sheetId="28" r:id="rId16"/>
    <sheet name="JUNHO 2022" sheetId="29" r:id="rId17"/>
    <sheet name="JULHO 2022" sheetId="30" r:id="rId18"/>
    <sheet name="AGOSTO 2022" sheetId="31" r:id="rId19"/>
    <sheet name="SETEMBRO 2022" sheetId="32" r:id="rId20"/>
    <sheet name="OUTUBRO 2022 " sheetId="33" r:id="rId21"/>
    <sheet name="NOVEMBRO 2022" sheetId="34" r:id="rId22"/>
    <sheet name="DEZEMBRO 2022" sheetId="36" r:id="rId23"/>
    <sheet name="JANEIRO 2023" sheetId="37" r:id="rId24"/>
    <sheet name="FEVEREIRO 2023" sheetId="38" r:id="rId25"/>
    <sheet name="MARÇO 2023" sheetId="39" r:id="rId26"/>
    <sheet name="ABRIL 2023" sheetId="40" r:id="rId27"/>
    <sheet name="MAIO 2023" sheetId="41" r:id="rId28"/>
    <sheet name="JUNHO 2023" sheetId="42" r:id="rId29"/>
    <sheet name="JULHO 2023" sheetId="43" r:id="rId30"/>
  </sheets>
  <externalReferences>
    <externalReference r:id="rId31"/>
    <externalReference r:id="rId32"/>
  </externalReferences>
  <definedNames>
    <definedName name="_xlnm.Print_Area" localSheetId="0">'JANEIRO 2021'!$B$1:$D$58</definedName>
    <definedName name="Excel_BuiltIn_Print_Area" localSheetId="0">'JANEIRO 2021'!$B$1:$D$58</definedName>
  </definedNames>
  <calcPr calcId="191029"/>
</workbook>
</file>

<file path=xl/calcChain.xml><?xml version="1.0" encoding="utf-8"?>
<calcChain xmlns="http://schemas.openxmlformats.org/spreadsheetml/2006/main">
  <c r="B29" i="43" l="1"/>
  <c r="H48" i="43"/>
  <c r="H47" i="43"/>
  <c r="H54" i="43" s="1"/>
  <c r="H56" i="43" s="1"/>
  <c r="B19" i="43"/>
  <c r="H48" i="42"/>
  <c r="H49" i="42"/>
  <c r="C15" i="42"/>
  <c r="C10" i="42"/>
  <c r="B30" i="43" l="1"/>
  <c r="C28" i="42"/>
  <c r="I26" i="42"/>
  <c r="I27" i="42"/>
  <c r="I28" i="42"/>
  <c r="I25" i="42"/>
  <c r="I11" i="42"/>
  <c r="I12" i="42"/>
  <c r="I14" i="42"/>
  <c r="I15" i="42"/>
  <c r="I16" i="42"/>
  <c r="I17" i="42"/>
  <c r="I18" i="42"/>
  <c r="I19" i="42"/>
  <c r="C30" i="42" l="1"/>
  <c r="C20" i="42"/>
  <c r="H45" i="42"/>
  <c r="G30" i="42"/>
  <c r="F30" i="42"/>
  <c r="E30" i="42"/>
  <c r="D30" i="42"/>
  <c r="H29" i="42"/>
  <c r="H13" i="42"/>
  <c r="F13" i="42"/>
  <c r="H10" i="42"/>
  <c r="G10" i="42"/>
  <c r="G20" i="42" s="1"/>
  <c r="G31" i="42" s="1"/>
  <c r="F10" i="42"/>
  <c r="E10" i="42"/>
  <c r="E20" i="42" s="1"/>
  <c r="D10" i="42"/>
  <c r="G48" i="41"/>
  <c r="G49" i="41"/>
  <c r="I13" i="42" l="1"/>
  <c r="E31" i="42"/>
  <c r="H30" i="42"/>
  <c r="I29" i="42"/>
  <c r="I30" i="42" s="1"/>
  <c r="D20" i="42"/>
  <c r="D31" i="42" s="1"/>
  <c r="I10" i="42"/>
  <c r="I20" i="42" s="1"/>
  <c r="F20" i="42"/>
  <c r="F31" i="42" s="1"/>
  <c r="C31" i="42"/>
  <c r="H20" i="42"/>
  <c r="H31" i="42" s="1"/>
  <c r="H55" i="42"/>
  <c r="H28" i="41"/>
  <c r="H27" i="41"/>
  <c r="H26" i="41"/>
  <c r="H25" i="41"/>
  <c r="C10" i="41"/>
  <c r="C20" i="41" s="1"/>
  <c r="C30" i="41"/>
  <c r="H11" i="41"/>
  <c r="H12" i="41"/>
  <c r="H14" i="41"/>
  <c r="H15" i="41"/>
  <c r="H16" i="41"/>
  <c r="H17" i="41"/>
  <c r="H18" i="41"/>
  <c r="H19" i="41"/>
  <c r="G55" i="41"/>
  <c r="G45" i="41"/>
  <c r="F30" i="41"/>
  <c r="E30" i="41"/>
  <c r="D30" i="41"/>
  <c r="G29" i="41"/>
  <c r="G30" i="41" s="1"/>
  <c r="G13" i="41"/>
  <c r="E13" i="41"/>
  <c r="H13" i="41" s="1"/>
  <c r="G10" i="41"/>
  <c r="F10" i="41"/>
  <c r="F20" i="41" s="1"/>
  <c r="E10" i="41"/>
  <c r="D10" i="41"/>
  <c r="D20" i="41" s="1"/>
  <c r="F26" i="39"/>
  <c r="F27" i="39"/>
  <c r="F28" i="39"/>
  <c r="F25" i="39"/>
  <c r="F11" i="39"/>
  <c r="F12" i="39"/>
  <c r="F14" i="39"/>
  <c r="F15" i="39"/>
  <c r="F16" i="39"/>
  <c r="F17" i="39"/>
  <c r="F18" i="39"/>
  <c r="F19" i="39"/>
  <c r="E26" i="38"/>
  <c r="E27" i="38"/>
  <c r="E28" i="38"/>
  <c r="E25" i="38"/>
  <c r="E11" i="38"/>
  <c r="E12" i="38"/>
  <c r="E14" i="38"/>
  <c r="E15" i="38"/>
  <c r="E16" i="38"/>
  <c r="E17" i="38"/>
  <c r="E18" i="38"/>
  <c r="E19" i="38"/>
  <c r="F45" i="40"/>
  <c r="G26" i="40"/>
  <c r="G27" i="40"/>
  <c r="G28" i="40"/>
  <c r="G25" i="40"/>
  <c r="G11" i="40"/>
  <c r="G12" i="40"/>
  <c r="G14" i="40"/>
  <c r="G15" i="40"/>
  <c r="G16" i="40"/>
  <c r="G17" i="40"/>
  <c r="G18" i="40"/>
  <c r="G19" i="40"/>
  <c r="C10" i="40"/>
  <c r="C20" i="40" s="1"/>
  <c r="H57" i="42" l="1"/>
  <c r="L55" i="42"/>
  <c r="D31" i="41"/>
  <c r="I31" i="42"/>
  <c r="E20" i="41"/>
  <c r="E31" i="41" s="1"/>
  <c r="F31" i="41"/>
  <c r="G20" i="41"/>
  <c r="G31" i="41" s="1"/>
  <c r="H29" i="41"/>
  <c r="H30" i="41" s="1"/>
  <c r="G57" i="41"/>
  <c r="C31" i="41"/>
  <c r="H10" i="41"/>
  <c r="H20" i="41" s="1"/>
  <c r="F48" i="40"/>
  <c r="F49" i="40"/>
  <c r="C30" i="40"/>
  <c r="E30" i="40"/>
  <c r="D30" i="40"/>
  <c r="F29" i="40"/>
  <c r="F13" i="40"/>
  <c r="F20" i="40" s="1"/>
  <c r="D13" i="40"/>
  <c r="F10" i="40"/>
  <c r="E10" i="40"/>
  <c r="E20" i="40" s="1"/>
  <c r="E31" i="40" s="1"/>
  <c r="D10" i="40"/>
  <c r="E48" i="39"/>
  <c r="E49" i="39"/>
  <c r="C13" i="39"/>
  <c r="C10" i="39"/>
  <c r="G13" i="40" l="1"/>
  <c r="F55" i="40"/>
  <c r="F57" i="40" s="1"/>
  <c r="D20" i="40"/>
  <c r="D31" i="40" s="1"/>
  <c r="G10" i="40"/>
  <c r="G20" i="40" s="1"/>
  <c r="F30" i="40"/>
  <c r="F31" i="40" s="1"/>
  <c r="G29" i="40"/>
  <c r="G30" i="40" s="1"/>
  <c r="H31" i="41"/>
  <c r="C31" i="40"/>
  <c r="C30" i="38"/>
  <c r="C10" i="38"/>
  <c r="C30" i="39"/>
  <c r="C20" i="39"/>
  <c r="D30" i="39"/>
  <c r="D10" i="39"/>
  <c r="D20" i="39" s="1"/>
  <c r="E55" i="39"/>
  <c r="E45" i="39"/>
  <c r="E29" i="39"/>
  <c r="E13" i="39"/>
  <c r="F13" i="39" s="1"/>
  <c r="E10" i="39"/>
  <c r="D48" i="38"/>
  <c r="D49" i="38"/>
  <c r="F10" i="39" l="1"/>
  <c r="E30" i="39"/>
  <c r="F29" i="39"/>
  <c r="F30" i="39" s="1"/>
  <c r="C20" i="38"/>
  <c r="C31" i="38" s="1"/>
  <c r="G31" i="40"/>
  <c r="D31" i="39"/>
  <c r="C31" i="39"/>
  <c r="F20" i="39"/>
  <c r="E20" i="39"/>
  <c r="E57" i="39"/>
  <c r="D55" i="38"/>
  <c r="D45" i="38"/>
  <c r="D29" i="38"/>
  <c r="E29" i="38" s="1"/>
  <c r="D13" i="38"/>
  <c r="E13" i="38" s="1"/>
  <c r="D10" i="38"/>
  <c r="E10" i="38" s="1"/>
  <c r="E31" i="39" l="1"/>
  <c r="F31" i="39"/>
  <c r="E30" i="38"/>
  <c r="D30" i="38"/>
  <c r="D20" i="38"/>
  <c r="E20" i="38"/>
  <c r="D57" i="38"/>
  <c r="C29" i="37"/>
  <c r="C49" i="37"/>
  <c r="C53" i="37" s="1"/>
  <c r="D31" i="38" l="1"/>
  <c r="E31" i="38"/>
  <c r="C13" i="37"/>
  <c r="C10" i="37"/>
  <c r="C45" i="37"/>
  <c r="C55" i="37" s="1"/>
  <c r="C30" i="37"/>
  <c r="D29" i="37"/>
  <c r="D28" i="37"/>
  <c r="D27" i="37"/>
  <c r="D26" i="37"/>
  <c r="D25" i="37"/>
  <c r="D19" i="37"/>
  <c r="D18" i="37"/>
  <c r="D17" i="37"/>
  <c r="D16" i="37"/>
  <c r="D15" i="37"/>
  <c r="D14" i="37"/>
  <c r="D12" i="37"/>
  <c r="D11" i="37"/>
  <c r="C20" i="37" l="1"/>
  <c r="C31" i="37" s="1"/>
  <c r="D13" i="37"/>
  <c r="D30" i="37"/>
  <c r="D10" i="37"/>
  <c r="C29" i="29"/>
  <c r="D29" i="30"/>
  <c r="E29" i="31"/>
  <c r="C29" i="31"/>
  <c r="F29" i="32"/>
  <c r="D29" i="32"/>
  <c r="C29" i="32"/>
  <c r="K26" i="31"/>
  <c r="K27" i="31"/>
  <c r="K28" i="31"/>
  <c r="L26" i="32"/>
  <c r="L27" i="32"/>
  <c r="L28" i="32"/>
  <c r="G29" i="33"/>
  <c r="E29" i="33"/>
  <c r="D29" i="33"/>
  <c r="M28" i="33"/>
  <c r="M27" i="33"/>
  <c r="M26" i="33"/>
  <c r="H29" i="34"/>
  <c r="F29" i="34"/>
  <c r="E29" i="34"/>
  <c r="N28" i="34"/>
  <c r="N27" i="34"/>
  <c r="N26" i="34"/>
  <c r="O28" i="36"/>
  <c r="C30" i="34"/>
  <c r="C31" i="34" s="1"/>
  <c r="M19" i="33"/>
  <c r="M18" i="33"/>
  <c r="M17" i="33"/>
  <c r="M16" i="33"/>
  <c r="M15" i="33"/>
  <c r="M13" i="33"/>
  <c r="M12" i="33"/>
  <c r="M11" i="33"/>
  <c r="N18" i="34"/>
  <c r="N17" i="34"/>
  <c r="N16" i="34"/>
  <c r="N15" i="34"/>
  <c r="N12" i="34"/>
  <c r="N11" i="34"/>
  <c r="O18" i="36"/>
  <c r="O17" i="36"/>
  <c r="O16" i="36"/>
  <c r="O15" i="36"/>
  <c r="O12" i="36"/>
  <c r="O11" i="36"/>
  <c r="O27" i="36"/>
  <c r="O26" i="36"/>
  <c r="C19" i="36"/>
  <c r="O19" i="36" s="1"/>
  <c r="O50" i="36"/>
  <c r="O51" i="36"/>
  <c r="D19" i="36"/>
  <c r="D13" i="36"/>
  <c r="D10" i="36"/>
  <c r="C10" i="34"/>
  <c r="N29" i="34" l="1"/>
  <c r="D21" i="36"/>
  <c r="M29" i="33"/>
  <c r="D20" i="37"/>
  <c r="D31" i="37" s="1"/>
  <c r="K30" i="31"/>
  <c r="K29" i="31"/>
  <c r="L30" i="32"/>
  <c r="L29" i="32"/>
  <c r="C10" i="36"/>
  <c r="C13" i="36"/>
  <c r="O13" i="36" s="1"/>
  <c r="C31" i="36"/>
  <c r="O53" i="36"/>
  <c r="O45" i="36"/>
  <c r="M31" i="36"/>
  <c r="L31" i="36"/>
  <c r="N31" i="36"/>
  <c r="K31" i="36"/>
  <c r="E30" i="36"/>
  <c r="E31" i="36" s="1"/>
  <c r="D30" i="36"/>
  <c r="D31" i="36" s="1"/>
  <c r="I29" i="36"/>
  <c r="G29" i="36"/>
  <c r="F29" i="36"/>
  <c r="M21" i="36"/>
  <c r="L21" i="36"/>
  <c r="K21" i="36"/>
  <c r="E21" i="36"/>
  <c r="J20" i="36"/>
  <c r="J21" i="36" s="1"/>
  <c r="I20" i="36"/>
  <c r="I21" i="36" s="1"/>
  <c r="H20" i="36"/>
  <c r="H21" i="36" s="1"/>
  <c r="G20" i="36"/>
  <c r="G21" i="36" s="1"/>
  <c r="F20" i="36"/>
  <c r="F14" i="36"/>
  <c r="N10" i="36"/>
  <c r="N21" i="36" s="1"/>
  <c r="M51" i="33"/>
  <c r="M45" i="33"/>
  <c r="N51" i="34"/>
  <c r="N53" i="34" s="1"/>
  <c r="N45" i="34"/>
  <c r="L31" i="34"/>
  <c r="K31" i="34"/>
  <c r="J31" i="34"/>
  <c r="M31" i="34"/>
  <c r="I31" i="34"/>
  <c r="H31" i="34"/>
  <c r="D30" i="34"/>
  <c r="D31" i="34" s="1"/>
  <c r="L21" i="34"/>
  <c r="K21" i="34"/>
  <c r="J21" i="34"/>
  <c r="D21" i="34"/>
  <c r="I20" i="34"/>
  <c r="I21" i="34" s="1"/>
  <c r="H20" i="34"/>
  <c r="H21" i="34" s="1"/>
  <c r="G20" i="34"/>
  <c r="G21" i="34" s="1"/>
  <c r="F20" i="34"/>
  <c r="F21" i="34" s="1"/>
  <c r="E20" i="34"/>
  <c r="C19" i="34"/>
  <c r="E14" i="34"/>
  <c r="N14" i="34" s="1"/>
  <c r="C13" i="34"/>
  <c r="N13" i="34" s="1"/>
  <c r="M10" i="34"/>
  <c r="E32" i="36" l="1"/>
  <c r="D32" i="36"/>
  <c r="N32" i="36"/>
  <c r="I32" i="34"/>
  <c r="D32" i="34"/>
  <c r="K32" i="34"/>
  <c r="K32" i="36"/>
  <c r="O20" i="36"/>
  <c r="N55" i="34"/>
  <c r="L32" i="36"/>
  <c r="O10" i="36"/>
  <c r="C21" i="34"/>
  <c r="C32" i="34" s="1"/>
  <c r="N19" i="34"/>
  <c r="J32" i="34"/>
  <c r="F21" i="36"/>
  <c r="O14" i="36"/>
  <c r="E21" i="34"/>
  <c r="N20" i="34"/>
  <c r="O29" i="36"/>
  <c r="M21" i="34"/>
  <c r="M32" i="34" s="1"/>
  <c r="N10" i="34"/>
  <c r="N30" i="34"/>
  <c r="N31" i="34" s="1"/>
  <c r="L32" i="34"/>
  <c r="H32" i="34"/>
  <c r="I31" i="36"/>
  <c r="I32" i="36" s="1"/>
  <c r="J31" i="36"/>
  <c r="J32" i="36" s="1"/>
  <c r="M32" i="36"/>
  <c r="O55" i="36"/>
  <c r="C21" i="36"/>
  <c r="H31" i="36"/>
  <c r="H32" i="36" s="1"/>
  <c r="F31" i="36"/>
  <c r="E31" i="34"/>
  <c r="F31" i="34"/>
  <c r="F32" i="34" s="1"/>
  <c r="G31" i="34"/>
  <c r="G32" i="34" s="1"/>
  <c r="N21" i="34" l="1"/>
  <c r="N32" i="34" s="1"/>
  <c r="E32" i="34"/>
  <c r="F32" i="36"/>
  <c r="O21" i="36"/>
  <c r="G31" i="36"/>
  <c r="G32" i="36" s="1"/>
  <c r="O30" i="36"/>
  <c r="O31" i="36" s="1"/>
  <c r="C32" i="36"/>
  <c r="O32" i="36" l="1"/>
  <c r="C30" i="33"/>
  <c r="M53" i="33"/>
  <c r="C31" i="33" l="1"/>
  <c r="M30" i="33"/>
  <c r="C21" i="33"/>
  <c r="M55" i="33"/>
  <c r="K31" i="33"/>
  <c r="J31" i="33"/>
  <c r="L31" i="33"/>
  <c r="I31" i="33"/>
  <c r="H31" i="33"/>
  <c r="G31" i="33"/>
  <c r="K21" i="33"/>
  <c r="J21" i="33"/>
  <c r="I21" i="33"/>
  <c r="H20" i="33"/>
  <c r="H21" i="33" s="1"/>
  <c r="G20" i="33"/>
  <c r="G21" i="33" s="1"/>
  <c r="F20" i="33"/>
  <c r="F21" i="33" s="1"/>
  <c r="E20" i="33"/>
  <c r="E21" i="33" s="1"/>
  <c r="D20" i="33"/>
  <c r="D14" i="33"/>
  <c r="M14" i="33" s="1"/>
  <c r="L10" i="33"/>
  <c r="I32" i="33" l="1"/>
  <c r="D21" i="33"/>
  <c r="M20" i="33"/>
  <c r="L21" i="33"/>
  <c r="L32" i="33" s="1"/>
  <c r="M10" i="33"/>
  <c r="K32" i="33"/>
  <c r="J32" i="33"/>
  <c r="G32" i="33"/>
  <c r="E31" i="33"/>
  <c r="E32" i="33" s="1"/>
  <c r="F31" i="33"/>
  <c r="F32" i="33" s="1"/>
  <c r="C32" i="33"/>
  <c r="H32" i="33"/>
  <c r="D31" i="33"/>
  <c r="C20" i="32"/>
  <c r="C14" i="32"/>
  <c r="C21" i="32" s="1"/>
  <c r="D32" i="33" l="1"/>
  <c r="M21" i="33"/>
  <c r="C31" i="32"/>
  <c r="C32" i="32" s="1"/>
  <c r="M31" i="33"/>
  <c r="L44" i="32"/>
  <c r="L51" i="32" s="1"/>
  <c r="L53" i="32" s="1"/>
  <c r="J31" i="32"/>
  <c r="I31" i="32"/>
  <c r="K31" i="32"/>
  <c r="H31" i="32"/>
  <c r="J21" i="32"/>
  <c r="I21" i="32"/>
  <c r="H21" i="32"/>
  <c r="G20" i="32"/>
  <c r="G21" i="32" s="1"/>
  <c r="F20" i="32"/>
  <c r="F21" i="32" s="1"/>
  <c r="E20" i="32"/>
  <c r="E21" i="32" s="1"/>
  <c r="D20" i="32"/>
  <c r="D21" i="32" s="1"/>
  <c r="L19" i="32"/>
  <c r="L18" i="32"/>
  <c r="L17" i="32"/>
  <c r="L16" i="32"/>
  <c r="L15" i="32"/>
  <c r="L14" i="32"/>
  <c r="L13" i="32"/>
  <c r="L12" i="32"/>
  <c r="L11" i="32"/>
  <c r="K10" i="32"/>
  <c r="L10" i="32" s="1"/>
  <c r="K11" i="31"/>
  <c r="K12" i="31"/>
  <c r="K13" i="31"/>
  <c r="K14" i="31"/>
  <c r="K15" i="31"/>
  <c r="K16" i="31"/>
  <c r="K17" i="31"/>
  <c r="K18" i="31"/>
  <c r="K19" i="31"/>
  <c r="C20" i="31"/>
  <c r="C21" i="31" s="1"/>
  <c r="H32" i="32" l="1"/>
  <c r="M32" i="33"/>
  <c r="J32" i="32"/>
  <c r="K21" i="32"/>
  <c r="K32" i="32" s="1"/>
  <c r="F31" i="32"/>
  <c r="F32" i="32" s="1"/>
  <c r="E31" i="32"/>
  <c r="E32" i="32" s="1"/>
  <c r="D31" i="32"/>
  <c r="D32" i="32" s="1"/>
  <c r="I32" i="32"/>
  <c r="L20" i="32"/>
  <c r="L21" i="32" s="1"/>
  <c r="G31" i="32"/>
  <c r="G32" i="32" s="1"/>
  <c r="K44" i="31"/>
  <c r="I31" i="31"/>
  <c r="H31" i="31"/>
  <c r="J31" i="31"/>
  <c r="G31" i="31"/>
  <c r="I21" i="31"/>
  <c r="H21" i="31"/>
  <c r="G21" i="31"/>
  <c r="F20" i="31"/>
  <c r="F21" i="31" s="1"/>
  <c r="E20" i="31"/>
  <c r="E21" i="31" s="1"/>
  <c r="D20" i="31"/>
  <c r="J10" i="31"/>
  <c r="K10" i="31" s="1"/>
  <c r="J27" i="30"/>
  <c r="J28" i="30"/>
  <c r="J29" i="30"/>
  <c r="J26" i="30"/>
  <c r="J11" i="30"/>
  <c r="J12" i="30"/>
  <c r="J13" i="30"/>
  <c r="J14" i="30"/>
  <c r="J15" i="30"/>
  <c r="J16" i="30"/>
  <c r="J17" i="30"/>
  <c r="J18" i="30"/>
  <c r="J19" i="30"/>
  <c r="J44" i="30"/>
  <c r="J51" i="30" s="1"/>
  <c r="J53" i="30" s="1"/>
  <c r="H31" i="30"/>
  <c r="G31" i="30"/>
  <c r="I31" i="30"/>
  <c r="F31" i="30"/>
  <c r="H21" i="30"/>
  <c r="G21" i="30"/>
  <c r="F21" i="30"/>
  <c r="E20" i="30"/>
  <c r="E21" i="30" s="1"/>
  <c r="D20" i="30"/>
  <c r="D21" i="30" s="1"/>
  <c r="C20" i="30"/>
  <c r="C21" i="30" s="1"/>
  <c r="I10" i="30"/>
  <c r="J10" i="30" s="1"/>
  <c r="C20" i="29"/>
  <c r="C21" i="29" s="1"/>
  <c r="J20" i="30" l="1"/>
  <c r="J21" i="30" s="1"/>
  <c r="H32" i="30"/>
  <c r="G32" i="30"/>
  <c r="F32" i="30"/>
  <c r="L31" i="32"/>
  <c r="L32" i="32" s="1"/>
  <c r="K51" i="31"/>
  <c r="K53" i="31" s="1"/>
  <c r="C31" i="31"/>
  <c r="C32" i="31" s="1"/>
  <c r="K20" i="31"/>
  <c r="G32" i="31"/>
  <c r="J21" i="31"/>
  <c r="J32" i="31" s="1"/>
  <c r="D21" i="31"/>
  <c r="H32" i="31"/>
  <c r="I32" i="31"/>
  <c r="F31" i="31"/>
  <c r="F32" i="31" s="1"/>
  <c r="E31" i="31"/>
  <c r="E32" i="31" s="1"/>
  <c r="I21" i="30"/>
  <c r="I32" i="30" s="1"/>
  <c r="E31" i="30"/>
  <c r="E32" i="30" s="1"/>
  <c r="D31" i="30"/>
  <c r="D32" i="30" s="1"/>
  <c r="C31" i="29"/>
  <c r="C32" i="29" s="1"/>
  <c r="I26" i="29"/>
  <c r="I27" i="29"/>
  <c r="I28" i="29"/>
  <c r="I11" i="29"/>
  <c r="I12" i="29"/>
  <c r="I13" i="29"/>
  <c r="I14" i="29"/>
  <c r="I15" i="29"/>
  <c r="I16" i="29"/>
  <c r="I17" i="29"/>
  <c r="I18" i="29"/>
  <c r="I19" i="29"/>
  <c r="I44" i="29"/>
  <c r="I51" i="29" s="1"/>
  <c r="I53" i="29" s="1"/>
  <c r="G31" i="29"/>
  <c r="F31" i="29"/>
  <c r="H31" i="29"/>
  <c r="E31" i="29"/>
  <c r="G21" i="29"/>
  <c r="F21" i="29"/>
  <c r="E21" i="29"/>
  <c r="D20" i="29"/>
  <c r="I20" i="29" s="1"/>
  <c r="H10" i="29"/>
  <c r="H21" i="29" s="1"/>
  <c r="C20" i="28"/>
  <c r="G32" i="29" l="1"/>
  <c r="K31" i="31"/>
  <c r="K21" i="31"/>
  <c r="C31" i="30"/>
  <c r="C32" i="30" s="1"/>
  <c r="J30" i="30"/>
  <c r="J31" i="30" s="1"/>
  <c r="J32" i="30" s="1"/>
  <c r="D31" i="31"/>
  <c r="D32" i="31" s="1"/>
  <c r="I10" i="29"/>
  <c r="I21" i="29" s="1"/>
  <c r="E32" i="29"/>
  <c r="I30" i="29"/>
  <c r="I29" i="29"/>
  <c r="D21" i="29"/>
  <c r="F32" i="29"/>
  <c r="H32" i="29"/>
  <c r="D31" i="29"/>
  <c r="C31" i="28"/>
  <c r="H27" i="28"/>
  <c r="H28" i="28"/>
  <c r="H29" i="28"/>
  <c r="H26" i="28"/>
  <c r="C21" i="28"/>
  <c r="H11" i="28"/>
  <c r="H12" i="28"/>
  <c r="H13" i="28"/>
  <c r="H14" i="28"/>
  <c r="H15" i="28"/>
  <c r="H16" i="28"/>
  <c r="H17" i="28"/>
  <c r="H18" i="28"/>
  <c r="H19" i="28"/>
  <c r="H20" i="28"/>
  <c r="H44" i="28"/>
  <c r="H51" i="28" s="1"/>
  <c r="H53" i="28" s="1"/>
  <c r="G31" i="28"/>
  <c r="F31" i="28"/>
  <c r="E31" i="28"/>
  <c r="D31" i="28"/>
  <c r="F21" i="28"/>
  <c r="E21" i="28"/>
  <c r="D21" i="28"/>
  <c r="G10" i="28"/>
  <c r="H10" i="28" s="1"/>
  <c r="C21" i="27"/>
  <c r="I31" i="29" l="1"/>
  <c r="I32" i="29" s="1"/>
  <c r="F32" i="28"/>
  <c r="E32" i="28"/>
  <c r="H30" i="28"/>
  <c r="H31" i="28" s="1"/>
  <c r="K32" i="31"/>
  <c r="D32" i="29"/>
  <c r="C32" i="28"/>
  <c r="H21" i="28"/>
  <c r="D32" i="28"/>
  <c r="G21" i="28"/>
  <c r="G32" i="28" s="1"/>
  <c r="G27" i="27"/>
  <c r="G28" i="27"/>
  <c r="G29" i="27"/>
  <c r="G26" i="27"/>
  <c r="G11" i="27"/>
  <c r="G12" i="27"/>
  <c r="G13" i="27"/>
  <c r="G14" i="27"/>
  <c r="G15" i="27"/>
  <c r="G16" i="27"/>
  <c r="G17" i="27"/>
  <c r="G18" i="27"/>
  <c r="G19" i="27"/>
  <c r="G20" i="27"/>
  <c r="C31" i="27"/>
  <c r="C32" i="27" s="1"/>
  <c r="G44" i="27"/>
  <c r="G51" i="27" s="1"/>
  <c r="G53" i="27" s="1"/>
  <c r="E31" i="27"/>
  <c r="D31" i="27"/>
  <c r="E21" i="27"/>
  <c r="D21" i="27"/>
  <c r="F10" i="27"/>
  <c r="F21" i="27" s="1"/>
  <c r="C31" i="26"/>
  <c r="C21" i="26"/>
  <c r="F27" i="26"/>
  <c r="F28" i="26"/>
  <c r="F29" i="26"/>
  <c r="F26" i="26"/>
  <c r="F11" i="26"/>
  <c r="F12" i="26"/>
  <c r="F13" i="26"/>
  <c r="F14" i="26"/>
  <c r="F15" i="26"/>
  <c r="F16" i="26"/>
  <c r="F17" i="26"/>
  <c r="F18" i="26"/>
  <c r="F19" i="26"/>
  <c r="F20" i="26"/>
  <c r="F44" i="26"/>
  <c r="F51" i="26" s="1"/>
  <c r="F53" i="26" s="1"/>
  <c r="D31" i="26"/>
  <c r="F30" i="26"/>
  <c r="D21" i="26"/>
  <c r="E10" i="26"/>
  <c r="E21" i="26" s="1"/>
  <c r="C21" i="25"/>
  <c r="C31" i="25"/>
  <c r="G10" i="27" l="1"/>
  <c r="G21" i="27" s="1"/>
  <c r="C32" i="26"/>
  <c r="E32" i="27"/>
  <c r="D32" i="27"/>
  <c r="E31" i="26"/>
  <c r="E32" i="26" s="1"/>
  <c r="F10" i="26"/>
  <c r="F21" i="26" s="1"/>
  <c r="G30" i="27"/>
  <c r="G31" i="27" s="1"/>
  <c r="H32" i="28"/>
  <c r="D32" i="26"/>
  <c r="F31" i="27"/>
  <c r="F32" i="27" s="1"/>
  <c r="F31" i="26"/>
  <c r="C32" i="25"/>
  <c r="G32" i="27" l="1"/>
  <c r="F32" i="26"/>
  <c r="E27" i="25"/>
  <c r="E28" i="25"/>
  <c r="E29" i="25"/>
  <c r="E26" i="25"/>
  <c r="E11" i="25"/>
  <c r="E12" i="25"/>
  <c r="E13" i="25"/>
  <c r="E14" i="25"/>
  <c r="E15" i="25"/>
  <c r="E16" i="25"/>
  <c r="E17" i="25"/>
  <c r="E18" i="25"/>
  <c r="E19" i="25"/>
  <c r="E20" i="25"/>
  <c r="E44" i="25"/>
  <c r="E51" i="25" s="1"/>
  <c r="E53" i="25" s="1"/>
  <c r="E30" i="25"/>
  <c r="D10" i="25"/>
  <c r="D21" i="25" s="1"/>
  <c r="D31" i="25" l="1"/>
  <c r="D32" i="25" s="1"/>
  <c r="E10" i="25"/>
  <c r="E21" i="25" s="1"/>
  <c r="E31" i="25"/>
  <c r="D27" i="24"/>
  <c r="D28" i="24"/>
  <c r="D29" i="24"/>
  <c r="D30" i="24"/>
  <c r="D26" i="24"/>
  <c r="D11" i="24"/>
  <c r="D12" i="24"/>
  <c r="D13" i="24"/>
  <c r="D14" i="24"/>
  <c r="D15" i="24"/>
  <c r="D16" i="24"/>
  <c r="D17" i="24"/>
  <c r="D18" i="24"/>
  <c r="D19" i="24"/>
  <c r="D20" i="24"/>
  <c r="C10" i="24"/>
  <c r="D10" i="24" s="1"/>
  <c r="C44" i="24"/>
  <c r="C51" i="24" s="1"/>
  <c r="C53" i="24" s="1"/>
  <c r="C31" i="24"/>
  <c r="D18" i="23"/>
  <c r="D17" i="23"/>
  <c r="D16" i="23"/>
  <c r="C21" i="24" l="1"/>
  <c r="C32" i="24" s="1"/>
  <c r="E32" i="25"/>
  <c r="D31" i="24"/>
  <c r="D21" i="24"/>
  <c r="G13" i="23"/>
  <c r="G14" i="23"/>
  <c r="D30" i="23"/>
  <c r="D31" i="23" s="1"/>
  <c r="D21" i="23"/>
  <c r="C30" i="23"/>
  <c r="F11" i="23"/>
  <c r="D32" i="24" l="1"/>
  <c r="D32" i="23"/>
  <c r="C11" i="23"/>
  <c r="G11" i="23" l="1"/>
  <c r="C10" i="23"/>
  <c r="F10" i="23"/>
  <c r="G10" i="23" l="1"/>
  <c r="C44" i="23"/>
  <c r="C51" i="23" s="1"/>
  <c r="C31" i="23"/>
  <c r="C21" i="23"/>
  <c r="C29" i="22"/>
  <c r="C30" i="22" s="1"/>
  <c r="C45" i="21"/>
  <c r="C48" i="21" s="1"/>
  <c r="C45" i="22"/>
  <c r="C48" i="22" s="1"/>
  <c r="C42" i="22"/>
  <c r="C20" i="22"/>
  <c r="C50" i="22" l="1"/>
  <c r="C32" i="23"/>
  <c r="C53" i="23"/>
  <c r="C31" i="22"/>
  <c r="C29" i="21"/>
  <c r="C42" i="21" l="1"/>
  <c r="C30" i="21"/>
  <c r="C20" i="21"/>
  <c r="C50" i="21" l="1"/>
  <c r="C31" i="21"/>
  <c r="C42" i="20"/>
  <c r="C30" i="20"/>
  <c r="D22" i="20"/>
  <c r="C20" i="20"/>
  <c r="C42" i="19"/>
  <c r="C45" i="19" s="1"/>
  <c r="C30" i="19"/>
  <c r="D22" i="19"/>
  <c r="C20" i="19"/>
  <c r="C46" i="17"/>
  <c r="C45" i="17"/>
  <c r="C45" i="20" l="1"/>
  <c r="C48" i="20" s="1"/>
  <c r="C50" i="20" s="1"/>
  <c r="C31" i="20"/>
  <c r="C48" i="19"/>
  <c r="C50" i="19" s="1"/>
  <c r="C31" i="19"/>
  <c r="C29" i="18"/>
  <c r="C30" i="17"/>
  <c r="D19" i="18" l="1"/>
  <c r="C42" i="18"/>
  <c r="C45" i="18" s="1"/>
  <c r="C48" i="18" s="1"/>
  <c r="C50" i="18" s="1"/>
  <c r="C30" i="18"/>
  <c r="D22" i="18"/>
  <c r="C20" i="18"/>
  <c r="C48" i="17"/>
  <c r="C42" i="17"/>
  <c r="D28" i="17"/>
  <c r="D28" i="18" s="1"/>
  <c r="D22" i="17"/>
  <c r="C20" i="17"/>
  <c r="C31" i="17" s="1"/>
  <c r="C48" i="16"/>
  <c r="C42" i="16"/>
  <c r="C29" i="16"/>
  <c r="C30" i="16" s="1"/>
  <c r="D28" i="16"/>
  <c r="D27" i="16"/>
  <c r="D27" i="17" s="1"/>
  <c r="D27" i="18" s="1"/>
  <c r="D26" i="16"/>
  <c r="D26" i="17" s="1"/>
  <c r="D26" i="18" s="1"/>
  <c r="D25" i="16"/>
  <c r="D25" i="17" s="1"/>
  <c r="D22" i="16"/>
  <c r="C20" i="16"/>
  <c r="D17" i="16"/>
  <c r="D17" i="17" s="1"/>
  <c r="D17" i="18" s="1"/>
  <c r="C48" i="15"/>
  <c r="C42" i="15"/>
  <c r="C34" i="15"/>
  <c r="C29" i="15"/>
  <c r="C30" i="15" s="1"/>
  <c r="D28" i="15"/>
  <c r="D22" i="15"/>
  <c r="H19" i="15"/>
  <c r="E19" i="15"/>
  <c r="I18" i="15"/>
  <c r="I11" i="15" s="1"/>
  <c r="J11" i="15" s="1"/>
  <c r="D18" i="15" s="1"/>
  <c r="E17" i="15"/>
  <c r="I16" i="15"/>
  <c r="J16" i="15" s="1"/>
  <c r="D27" i="15" s="1"/>
  <c r="I15" i="15"/>
  <c r="I14" i="15"/>
  <c r="J14" i="15" s="1"/>
  <c r="D25" i="15" s="1"/>
  <c r="I10" i="15"/>
  <c r="J10" i="15" s="1"/>
  <c r="D16" i="15" s="1"/>
  <c r="C10" i="15"/>
  <c r="I9" i="15"/>
  <c r="J9" i="15" s="1"/>
  <c r="D15" i="15" s="1"/>
  <c r="C9" i="15"/>
  <c r="I8" i="15"/>
  <c r="J8" i="15" s="1"/>
  <c r="D14" i="15" s="1"/>
  <c r="I7" i="15"/>
  <c r="J7" i="15" s="1"/>
  <c r="D13" i="15" s="1"/>
  <c r="E13" i="15" s="1"/>
  <c r="I6" i="15"/>
  <c r="H6" i="15"/>
  <c r="I5" i="15"/>
  <c r="J5" i="15" s="1"/>
  <c r="D11" i="15" s="1"/>
  <c r="I4" i="15"/>
  <c r="H4" i="15"/>
  <c r="I3" i="15"/>
  <c r="H3" i="15"/>
  <c r="C47" i="14"/>
  <c r="C41" i="14"/>
  <c r="C28" i="14"/>
  <c r="C29" i="14" s="1"/>
  <c r="D27" i="14"/>
  <c r="D17" i="14" s="1"/>
  <c r="D26" i="14"/>
  <c r="D25" i="14"/>
  <c r="D24" i="14"/>
  <c r="D21" i="14"/>
  <c r="D16" i="14"/>
  <c r="D15" i="14"/>
  <c r="D14" i="14"/>
  <c r="D13" i="14"/>
  <c r="D12" i="14"/>
  <c r="C12" i="14"/>
  <c r="D11" i="14"/>
  <c r="D10" i="14"/>
  <c r="C10" i="14"/>
  <c r="D9" i="14"/>
  <c r="C9" i="14"/>
  <c r="C46" i="13"/>
  <c r="C45" i="13"/>
  <c r="C44" i="13"/>
  <c r="C47" i="13" s="1"/>
  <c r="C41" i="13"/>
  <c r="C33" i="13"/>
  <c r="D28" i="13"/>
  <c r="D27" i="13"/>
  <c r="C26" i="13"/>
  <c r="D26" i="13" s="1"/>
  <c r="D25" i="13"/>
  <c r="D24" i="13"/>
  <c r="D21" i="13"/>
  <c r="D18" i="13"/>
  <c r="D17" i="13"/>
  <c r="C16" i="13"/>
  <c r="D16" i="13" s="1"/>
  <c r="C15" i="13"/>
  <c r="D15" i="13" s="1"/>
  <c r="C14" i="13"/>
  <c r="D14" i="13" s="1"/>
  <c r="D13" i="13"/>
  <c r="C12" i="13"/>
  <c r="D11" i="13"/>
  <c r="D10" i="13"/>
  <c r="D9" i="13"/>
  <c r="J4" i="15" l="1"/>
  <c r="D10" i="15" s="1"/>
  <c r="C31" i="16"/>
  <c r="J6" i="15"/>
  <c r="D12" i="15" s="1"/>
  <c r="D12" i="16" s="1"/>
  <c r="D12" i="17" s="1"/>
  <c r="D12" i="18" s="1"/>
  <c r="C50" i="15"/>
  <c r="C29" i="13"/>
  <c r="D28" i="14"/>
  <c r="C49" i="13"/>
  <c r="D17" i="19"/>
  <c r="D17" i="20"/>
  <c r="D27" i="19"/>
  <c r="D27" i="20"/>
  <c r="D28" i="19"/>
  <c r="D28" i="20"/>
  <c r="D19" i="14"/>
  <c r="J18" i="15"/>
  <c r="D19" i="19"/>
  <c r="D19" i="20"/>
  <c r="D29" i="13"/>
  <c r="C49" i="14"/>
  <c r="C50" i="16"/>
  <c r="C50" i="17"/>
  <c r="J3" i="15"/>
  <c r="D9" i="15" s="1"/>
  <c r="E9" i="15" s="1"/>
  <c r="C20" i="15"/>
  <c r="C31" i="15" s="1"/>
  <c r="D26" i="19"/>
  <c r="D26" i="20"/>
  <c r="D11" i="17"/>
  <c r="D11" i="18" s="1"/>
  <c r="E11" i="15"/>
  <c r="D11" i="16"/>
  <c r="D14" i="16"/>
  <c r="D14" i="17" s="1"/>
  <c r="D14" i="18" s="1"/>
  <c r="E14" i="15"/>
  <c r="D10" i="16"/>
  <c r="D10" i="17" s="1"/>
  <c r="D10" i="18" s="1"/>
  <c r="E10" i="15"/>
  <c r="D16" i="16"/>
  <c r="D16" i="17" s="1"/>
  <c r="D16" i="18" s="1"/>
  <c r="E16" i="15"/>
  <c r="D29" i="14"/>
  <c r="D30" i="14" s="1"/>
  <c r="D25" i="18"/>
  <c r="E18" i="15"/>
  <c r="D18" i="16"/>
  <c r="D18" i="17" s="1"/>
  <c r="D18" i="18" s="1"/>
  <c r="D15" i="16"/>
  <c r="D15" i="17" s="1"/>
  <c r="D15" i="18" s="1"/>
  <c r="E15" i="15"/>
  <c r="C19" i="13"/>
  <c r="D12" i="13"/>
  <c r="D19" i="13" s="1"/>
  <c r="I19" i="15"/>
  <c r="J19" i="15" s="1"/>
  <c r="D29" i="15" s="1"/>
  <c r="D13" i="16"/>
  <c r="D13" i="17" s="1"/>
  <c r="D13" i="18" s="1"/>
  <c r="C19" i="14"/>
  <c r="C30" i="14" s="1"/>
  <c r="J15" i="15"/>
  <c r="D26" i="15" s="1"/>
  <c r="D29" i="17"/>
  <c r="D29" i="18" s="1"/>
  <c r="D30" i="16"/>
  <c r="C31" i="18"/>
  <c r="D9" i="16" l="1"/>
  <c r="E12" i="15"/>
  <c r="D30" i="15"/>
  <c r="D30" i="13"/>
  <c r="C30" i="13"/>
  <c r="D12" i="19"/>
  <c r="D12" i="20"/>
  <c r="D29" i="19"/>
  <c r="D29" i="20"/>
  <c r="D25" i="19"/>
  <c r="D25" i="20"/>
  <c r="D10" i="19"/>
  <c r="D10" i="20"/>
  <c r="D18" i="19"/>
  <c r="D18" i="20"/>
  <c r="D20" i="15"/>
  <c r="D31" i="15" s="1"/>
  <c r="D14" i="19"/>
  <c r="D14" i="20"/>
  <c r="D13" i="19"/>
  <c r="D13" i="20"/>
  <c r="D15" i="19"/>
  <c r="D15" i="20"/>
  <c r="D16" i="19"/>
  <c r="D16" i="20"/>
  <c r="D11" i="19"/>
  <c r="D11" i="20"/>
  <c r="D30" i="18"/>
  <c r="D30" i="17"/>
  <c r="D9" i="17"/>
  <c r="D20" i="16"/>
  <c r="D31" i="16" s="1"/>
  <c r="D30" i="19" l="1"/>
  <c r="D30" i="20"/>
  <c r="D20" i="17"/>
  <c r="D31" i="17" s="1"/>
  <c r="D9" i="18"/>
  <c r="D9" i="20" s="1"/>
  <c r="D20" i="20" s="1"/>
  <c r="D31" i="20" l="1"/>
  <c r="D9" i="19"/>
  <c r="D20" i="19" s="1"/>
  <c r="D31" i="19" s="1"/>
  <c r="D20" i="18"/>
  <c r="D31" i="18" s="1"/>
</calcChain>
</file>

<file path=xl/sharedStrings.xml><?xml version="1.0" encoding="utf-8"?>
<sst xmlns="http://schemas.openxmlformats.org/spreadsheetml/2006/main" count="1808" uniqueCount="271">
  <si>
    <t>RECEITAS E DESPESAS</t>
  </si>
  <si>
    <t>RECEITAS ARRECADADAS</t>
  </si>
  <si>
    <t>R$</t>
  </si>
  <si>
    <t>Contribuições Previdenciárias - Cota Patronal</t>
  </si>
  <si>
    <t>Contribuições Previdenciárias - Cota Segurados</t>
  </si>
  <si>
    <t>Aporte deficit Atuarial parcela 09/12</t>
  </si>
  <si>
    <t>Rendimentos Aplicação Financeira</t>
  </si>
  <si>
    <t>Comprev entre Regime Geral e IPREVE</t>
  </si>
  <si>
    <t>Outras Receitas</t>
  </si>
  <si>
    <t>TOTAL RECEITAS ARRECADADAS</t>
  </si>
  <si>
    <t>DESPESAS REALIZADAS</t>
  </si>
  <si>
    <t>Pagamento de Benefícios</t>
  </si>
  <si>
    <t>Diretoria (4)</t>
  </si>
  <si>
    <t>Pagamento de Compensação Previdenciária</t>
  </si>
  <si>
    <t>SUPERAVIT MENSAL</t>
  </si>
  <si>
    <t>RECURSOS FINANCEIROS</t>
  </si>
  <si>
    <t>SALDOS EM BANCOS</t>
  </si>
  <si>
    <t>( 01 ) - CONTAS CORRENTES</t>
  </si>
  <si>
    <t>Banco do Brasil C/C 110042-4</t>
  </si>
  <si>
    <t>Banco do Brasil C/C 6986-8</t>
  </si>
  <si>
    <t>Caixa C/C 20-6</t>
  </si>
  <si>
    <t>Caixa  C/C 50-8</t>
  </si>
  <si>
    <t>Caixa  C/C 90-7</t>
  </si>
  <si>
    <t>TOTAL EM CONTAS CORRENTES</t>
  </si>
  <si>
    <t>( 02 ) - APLICAÇÕES</t>
  </si>
  <si>
    <t>Caixa</t>
  </si>
  <si>
    <t>Banco do Brasil</t>
  </si>
  <si>
    <t>Banco Santos - Credit Yeld</t>
  </si>
  <si>
    <t>TOTAL EM APLICAÇÕES FINANCEIRAS</t>
  </si>
  <si>
    <t>( 01 ) + ( 02 ) = TOTAL SALDOS / BANCOS</t>
  </si>
  <si>
    <t>______________________________________________             ______________________________________________</t>
  </si>
  <si>
    <t>JANEIRO</t>
  </si>
  <si>
    <t>ACUMULADO 2021</t>
  </si>
  <si>
    <t>Aporte deficit Atuarial parcela 08/12</t>
  </si>
  <si>
    <t>Parcelamento - Acordo Cadprev 00890/2013 – 96/240 parcela</t>
  </si>
  <si>
    <t>Parcelamento - Acordo Cadprev 00155/2073 – 48/60 parcela</t>
  </si>
  <si>
    <t>Parcelamento - Acordo Cadprev 00223/2019 – 22/200 parcela</t>
  </si>
  <si>
    <t>Parcelamento - Acordo Cadprev 00225/2019 – 22/60 parcela</t>
  </si>
  <si>
    <t>Folha dos Aposentados – (123) aposentados</t>
  </si>
  <si>
    <t>Folha dos Pensionistas – (29) pensionistas</t>
  </si>
  <si>
    <t>Diretoria (5)</t>
  </si>
  <si>
    <t>Manutenção IPREVE - Despesas Administrativas</t>
  </si>
  <si>
    <t>Edivaldo Navarro Cachoeira                                                              Juliane da Silva Magalhães</t>
  </si>
  <si>
    <t xml:space="preserve">                 Diretor Presidente                                                              Diretora Administrativa e Financeira</t>
  </si>
  <si>
    <t>MARÇO</t>
  </si>
  <si>
    <t>JAN E FEV 2021</t>
  </si>
  <si>
    <t>Parcelamento - Acordo Cadprev 00890/2013 – 97/240 parcela</t>
  </si>
  <si>
    <t>Parcelamento - Acordo Cadprev 00155/2013 – 50/60 parcela</t>
  </si>
  <si>
    <t>Parcelamento - Acordo Cadprev 00223/2019 – 24/200 parcela</t>
  </si>
  <si>
    <t>Parcelamento - Acordo Cadprev 00225/2019 – 24/60 parcela</t>
  </si>
  <si>
    <t>Folha dos Aposentados – (127) aposentados</t>
  </si>
  <si>
    <t>JAN E FEV</t>
  </si>
  <si>
    <t>JAN A MAR</t>
  </si>
  <si>
    <t>ABRIL</t>
  </si>
  <si>
    <t>JAN A MAR 2021</t>
  </si>
  <si>
    <t>Parcelamento - Acordo Cadprev 00890/2013 – 98/240 parcela</t>
  </si>
  <si>
    <t>Parcelamento - Acordo Cadprev 00155/2013 – 51/60 parcela</t>
  </si>
  <si>
    <t>Parcelamento - Acordo Cadprev 00223/2019 – 25/200 parcela</t>
  </si>
  <si>
    <t>Parcelamento - Acordo Cadprev 00225/2019 – 25/60 parcela</t>
  </si>
  <si>
    <t>Parcelamento - Acordo Cadprev 00537/2021 – 01/60 parcela</t>
  </si>
  <si>
    <t>Folha dos Aposentados – (132) aposentados</t>
  </si>
  <si>
    <t>MAIO</t>
  </si>
  <si>
    <t>JAN A ABR 2021</t>
  </si>
  <si>
    <t>Parcelamento - Acordo Cadprev 00890/2013 – 99/240 parcela</t>
  </si>
  <si>
    <t>Parcelamento - Acordo Cadprev 00155/2013 – 52/60 parcela</t>
  </si>
  <si>
    <t>Parcelamento - Acordo Cadprev 00223/2019 – 26/200 parcela</t>
  </si>
  <si>
    <t>Parcelamento - Acordo Cadprev 00225/2019 – 26/60 parcela</t>
  </si>
  <si>
    <t>Parcelamento - Acordo Cadprev 00537/2021 – 02/60 parcela</t>
  </si>
  <si>
    <t>Folha dos Aposentados – (133) aposentados</t>
  </si>
  <si>
    <t>JUNHO</t>
  </si>
  <si>
    <t>JAN A MAI 2021</t>
  </si>
  <si>
    <t>Parcelamento - Acordo Cadprev 00890/2013 – 100/240 parcela</t>
  </si>
  <si>
    <t>Parcelamento - Acordo Cadprev 00155/2013 – 53/60 parcela</t>
  </si>
  <si>
    <t>Parcelamento - Acordo Cadprev 00223/2019 – 27/200 parcela</t>
  </si>
  <si>
    <t>Parcelamento - Acordo Cadprev 00225/2019 – 27/60 parcela</t>
  </si>
  <si>
    <t>Parcelamento - Acordo Cadprev 00537/2021 – 03/60 parcela</t>
  </si>
  <si>
    <t>Folha dos Aposentados – (136) aposentados</t>
  </si>
  <si>
    <t>JULHO</t>
  </si>
  <si>
    <t>JAN A JUN 2021</t>
  </si>
  <si>
    <t>Parcelamento - Acordo Cadprev 00890/2013 – 101/240 parcela</t>
  </si>
  <si>
    <t>Parcelamento - Acordo Cadprev 00155/2013 – 54/60 parcela</t>
  </si>
  <si>
    <t>Parcelamento - Acordo Cadprev 00223/2019 – 28/200 parcela</t>
  </si>
  <si>
    <t>Parcelamento - Acordo Cadprev 00225/2019 – 28/60 parcela</t>
  </si>
  <si>
    <t>Parcelamento - Acordo Cadprev 00537/2021 – 04/60 parcela</t>
  </si>
  <si>
    <t>TOTAL DESPESAS REALIZADAS</t>
  </si>
  <si>
    <t>AGOSTO</t>
  </si>
  <si>
    <t>JAN A JUL 2021</t>
  </si>
  <si>
    <t xml:space="preserve">               Diretor Presidente                                                            Diretora Administrativa e Financeira</t>
  </si>
  <si>
    <t>Folha dos Aposentados – (138) aposentados</t>
  </si>
  <si>
    <t>JAN A AGO 2021</t>
  </si>
  <si>
    <t>SETEMBRO</t>
  </si>
  <si>
    <t>Parcelamento - Acordo Cadprev 00890/2013 – 102/240 parcela</t>
  </si>
  <si>
    <t>Parcelamento - Acordo Cadprev 00155/2013 – 55/60 parcela</t>
  </si>
  <si>
    <t>Parcelamento - Acordo Cadprev 00223/2019 – 29/200 parcela</t>
  </si>
  <si>
    <t>Parcelamento - Acordo Cadprev 00225/2019 – 29/60 parcela</t>
  </si>
  <si>
    <t>Parcelamento - Acordo Cadprev 00537/2021 – 05/60 parcela</t>
  </si>
  <si>
    <t>Parcelamento - Acordo Cadprev 00890/2013 – 103/240 parcela</t>
  </si>
  <si>
    <t>Parcelamento - Acordo Cadprev 00155/2013 – 56/60 parcela</t>
  </si>
  <si>
    <t>Parcelamento - Acordo Cadprev 00223/2019 – 30/200 parcela</t>
  </si>
  <si>
    <t>Parcelamento - Acordo Cadprev 00225/2019 – 30/60 parcela</t>
  </si>
  <si>
    <t>Parcelamento - Acordo Cadprev 00537/2021 – 06/60 parcela</t>
  </si>
  <si>
    <t>OUTUBRO</t>
  </si>
  <si>
    <t xml:space="preserve">      Diretor Presidente                                    Diretora Administrativa e Financeira</t>
  </si>
  <si>
    <t>Parcelamento - Acordo Cadprev 00890/2013 – 104/240 parcela</t>
  </si>
  <si>
    <t>Parcelamento - Acordo Cadprev 00155/2013 – 57/60 parcela</t>
  </si>
  <si>
    <t>Parcelamento - Acordo Cadprev 00223/2019 – 31/200 parcela</t>
  </si>
  <si>
    <t>Parcelamento - Acordo Cadprev 00225/2019 – 31/60 parcela</t>
  </si>
  <si>
    <t>Parcelamento - Acordo Cadprev 00537/2021 – 07/60 parcela</t>
  </si>
  <si>
    <t>Folha dos Aposentados – (139) aposentados</t>
  </si>
  <si>
    <t>Diretoria (3)</t>
  </si>
  <si>
    <t>NOVEMBRO</t>
  </si>
  <si>
    <t>Parcelamento - Acordo Cadprev 00890/2013 – 105/240 parcela</t>
  </si>
  <si>
    <t>Parcelamento - Acordo Cadprev 00155/2013 – 58/60 parcela</t>
  </si>
  <si>
    <t>Parcelamento - Acordo Cadprev 00223/2019 – 32/200 parcela</t>
  </si>
  <si>
    <t>Parcelamento - Acordo Cadprev 00225/2019 – 32/60 parcela</t>
  </si>
  <si>
    <t>Parcelamento - Acordo Cadprev 00537/2021 – 08/60 parcela</t>
  </si>
  <si>
    <t>Folha dos Pensionistas – (30) pensionistas</t>
  </si>
  <si>
    <t xml:space="preserve">   Edivaldo Navarro Cachoeira                                    Juliane da Silva Magalhães</t>
  </si>
  <si>
    <t xml:space="preserve"> </t>
  </si>
  <si>
    <t>DEZEMBRO</t>
  </si>
  <si>
    <t>CONTRIBUIÇÕES E PARCELAMENTOS</t>
  </si>
  <si>
    <t>PAGAMENTO DE BENEFÍCIOS E SALÁRIOS</t>
  </si>
  <si>
    <t>Parcelamento - Acordo Cadprev 00890/2013 – 106/240 parcela</t>
  </si>
  <si>
    <t>Parcelamento - Acordo Cadprev 00155/2013 – 59/60 parcela</t>
  </si>
  <si>
    <t>Parcelamento - Acordo Cadprev 00223/2019 – 33/200 parcela</t>
  </si>
  <si>
    <t>Parcelamento - Acordo Cadprev 00225/2019 – 33/60 parcela</t>
  </si>
  <si>
    <t>Parcelamento - Acordo Cadprev 00537/2021 – 09/60 parcela</t>
  </si>
  <si>
    <t>RECEITAS ARRECADADAS (entradas bancárias)</t>
  </si>
  <si>
    <t>DESPESAS REALIZADAS (saídas bancárias)</t>
  </si>
  <si>
    <t>Folha do Instituto (4)</t>
  </si>
  <si>
    <t>Despesas Administrativas/Manutenção IPREVE</t>
  </si>
  <si>
    <t>Banco Itaú</t>
  </si>
  <si>
    <t>Itaú C/C</t>
  </si>
  <si>
    <t>Aporte deficit Atuarial parcela 1/12</t>
  </si>
  <si>
    <t>Aporte deficit Atuarial parcela 02/12</t>
  </si>
  <si>
    <t>Aporte deficit Atuarial parcela 03/12</t>
  </si>
  <si>
    <t>Aporte deficit Atuarial parcela 04/12</t>
  </si>
  <si>
    <t>Aporte deficit Atuarial parcela 05/12</t>
  </si>
  <si>
    <t>Aporte deficit Atuarial parcela 06/12</t>
  </si>
  <si>
    <t>Aporte deficit Atuarial parcela 07/12</t>
  </si>
  <si>
    <t>Aporte deficit Atuarial parcela 08/11</t>
  </si>
  <si>
    <t>Perdas</t>
  </si>
  <si>
    <t>Mês</t>
  </si>
  <si>
    <t>Parcelamento - Acordo Cadprev 00890/2013 – 107/240 parcela</t>
  </si>
  <si>
    <t>Parcelamento - Acordo Cadprev 00155/2013 – 60/60 parcela</t>
  </si>
  <si>
    <t>Parcelamento - Acordo Cadprev 00223/2019 – 34/200 parcela</t>
  </si>
  <si>
    <t>Parcelamento - Acordo Cadprev 00225/2019 – 34/60 parcela</t>
  </si>
  <si>
    <t>Parcelamento - Acordo Cadprev 00537/2021 – 10/60 parcela</t>
  </si>
  <si>
    <t>Aporte deficit Atuarial parcela 10/12</t>
  </si>
  <si>
    <t>Outras Receitas (Proc. Adm + Dev Diárias)</t>
  </si>
  <si>
    <t>Folha dos Pensionistas – (31) pensionistas</t>
  </si>
  <si>
    <t>FEVEREIRO</t>
  </si>
  <si>
    <t>Aporte deficit Atuarial parcela 11/12</t>
  </si>
  <si>
    <t>Parcelamento - Acordo Cadprev 00890/2013 – 108/240 parcela</t>
  </si>
  <si>
    <t>Parcelamento - Acordo Cadprev 00155/2013 – Pago</t>
  </si>
  <si>
    <t>Parcelamento - Acordo Cadprev 00223/2019 – 35/200 parcela</t>
  </si>
  <si>
    <t>Parcelamento - Acordo Cadprev 00225/2019 – 35/60 parcela</t>
  </si>
  <si>
    <t>Parcelamento - Acordo Cadprev 00537/2021 – 11/60 parcela</t>
  </si>
  <si>
    <t>SALDOS EM BANCOS FEVEREIRO</t>
  </si>
  <si>
    <t>Folha dos Aposentados – (141) aposentados</t>
  </si>
  <si>
    <t>Aporte deficit Atuarial parcela 12/12</t>
  </si>
  <si>
    <t>Parcelamento - Acordo Cadprev 00890/2013 – 109/240 parcela</t>
  </si>
  <si>
    <t>Parcelamento - Acordo Cadprev 00223/2019 – 36/200 parcela</t>
  </si>
  <si>
    <t>Parcelamento - Acordo Cadprev 00225/2019 – 36/60 parcela</t>
  </si>
  <si>
    <t>Parcelamento - Acordo Cadprev 00537/2021 – 12/60 parcela</t>
  </si>
  <si>
    <t>Folha dos Aposentados – (142) aposentados</t>
  </si>
  <si>
    <t>Aporte deficit Atuarial parcela 13</t>
  </si>
  <si>
    <t>Parcelamento - Acordo Cadprev 00890/2013 – 110/240 parcela</t>
  </si>
  <si>
    <t>Parcelamento - Acordo Cadprev 00223/2019 – 37/200 parcela</t>
  </si>
  <si>
    <t>Parcelamento - Acordo Cadprev 00225/2019 – 37/60 parcela</t>
  </si>
  <si>
    <t>Parcelamento - Acordo Cadprev 00537/2021 – 13/60 parcela</t>
  </si>
  <si>
    <t>Folha do Instituto (5)</t>
  </si>
  <si>
    <t>Folha dos Aposentados – (143) aposentados</t>
  </si>
  <si>
    <t>INSTITUTO DE PREVIDÊNCIA SOCIAL DOS SERVIDORES  PÚBLICOS DO MUNICÍPIO DE BARRA VELHA</t>
  </si>
  <si>
    <t>Parcelamento - Acordo Cadprev 00890/2013 – 111/240 parcela</t>
  </si>
  <si>
    <t>Parcelamento - Acordo Cadprev 00223/2019 – 38/200 parcela</t>
  </si>
  <si>
    <t>Parcelamento - Acordo Cadprev 00225/2019 – 38/60 parcela</t>
  </si>
  <si>
    <t>Parcelamento - Acordo Cadprev 00537/2021 – 14/60 parcela</t>
  </si>
  <si>
    <t>Comprev entre Regime Geral, IPREVE, Inst. Prev. Ctba</t>
  </si>
  <si>
    <t>Folha dos Aposentados – (145) aposentados</t>
  </si>
  <si>
    <t>Banco do Brasil C/C 110.042-4</t>
  </si>
  <si>
    <t>Banco do Brasil C/C 6.986-8</t>
  </si>
  <si>
    <t>Parcelamento - Acordo Cadprev 00890/2013 – 112/240 parcela</t>
  </si>
  <si>
    <t>Parcelamento - Acordo Cadprev 00223/2019 – 39/200 parcela</t>
  </si>
  <si>
    <t>Parcelamento - Acordo Cadprev 00225/2019 – 39/60 parcela</t>
  </si>
  <si>
    <t>Parcelamento - Acordo Cadprev 00537/2021 – 15/60 parcela</t>
  </si>
  <si>
    <t>Aporte deficit Atuarial parcela 12</t>
  </si>
  <si>
    <t>Aporte deficit Atuarial parcela 2/12</t>
  </si>
  <si>
    <t>Parcelamento - Acordo Cadprev 00890/2013 – 113/240 parcela</t>
  </si>
  <si>
    <t>Parcelamento - Acordo Cadprev 00537/2021 – 16/60 parcela</t>
  </si>
  <si>
    <t>Parcelamento - Acordo Cadprev 00223/2019 – 40/200 parcela</t>
  </si>
  <si>
    <t>Parcelamento - Acordo Cadprev 00225/2019 – 40/60 parcela</t>
  </si>
  <si>
    <t>Outras Receitas (Proc. Adm)</t>
  </si>
  <si>
    <t>Pagamento de Compensação Previdenciária (RGPS+RPPS)</t>
  </si>
  <si>
    <t>Aporte deficit Atuarial parcela 3/12</t>
  </si>
  <si>
    <t>Parcelamento - Acordo Cadprev 00890/2013 – 114/240 parcela</t>
  </si>
  <si>
    <t>Parcelamento - Acordo Cadprev 00223/2019 – 41/200 parcela</t>
  </si>
  <si>
    <t>Parcelamento - Acordo Cadprev 00225/2019 – 41/60 parcela</t>
  </si>
  <si>
    <t>Parcelamento - Acordo Cadprev 00537/2021 – 17/60 parcela</t>
  </si>
  <si>
    <t>Folha dos Aposentados – (144) aposentados</t>
  </si>
  <si>
    <t>NTN-B 15/08/2030 (Compra em 15/09/2022 Tx 5,7600)</t>
  </si>
  <si>
    <t>Aporte deficit Atuarial parcela 4/12</t>
  </si>
  <si>
    <t>Parcelamento - Acordo Cadprev 00890/2013 – 114 e 115/240 parcela</t>
  </si>
  <si>
    <t>Parcelamento - Acordo Cadprev 00223/2019 – 42/200 parcela</t>
  </si>
  <si>
    <t>Parcelamento - Acordo Cadprev 00225/2019 – 42/60 parcela</t>
  </si>
  <si>
    <t>Parcelamento - Acordo Cadprev 00537/2021 – 18/60 parcela</t>
  </si>
  <si>
    <t>NTN-B 15/05/2035 (Compra em 26/10/2022 Tx 5,7900)</t>
  </si>
  <si>
    <t>Folha dos Aposentados – (146) aposentados</t>
  </si>
  <si>
    <t>XP INVESTIMENTOS</t>
  </si>
  <si>
    <t>Parcelamento - Acordo Cadprev 00537/2021 – 20/60 parcela</t>
  </si>
  <si>
    <t>Parcelamento - Acordo Cadprev 00225/2019 – 44/60 parcela</t>
  </si>
  <si>
    <t>Parcelamento - Acordo Cadprev 00223/2019 – 44/200 parcela</t>
  </si>
  <si>
    <t>Parcelamento - Acordo Cadprev 00890/2013 – 117/240 parcela</t>
  </si>
  <si>
    <t>Aporte deficit Atuarial parcela7/12</t>
  </si>
  <si>
    <t>Aporte deficit Atuarial parcela 6/12</t>
  </si>
  <si>
    <t>Parcelamento - Acordo Cadprev 00890/2013 – 116/240 parcela</t>
  </si>
  <si>
    <t>Parcelamento - Acordo Cadprev 00223/2019 – 43/200 parcela</t>
  </si>
  <si>
    <t>Parcelamento - Acordo Cadprev 00225/2019 – 43/60 parcela</t>
  </si>
  <si>
    <t>Parcelamento - Acordo Cadprev 00537/2021 – 19/60 parcela</t>
  </si>
  <si>
    <t>Parcelamento - Acordo Cadprev 00890/2013 – 118/240 parcela</t>
  </si>
  <si>
    <t>Parcelamento - Acordo Cadprev 00223/2019 – 45/200 parcela</t>
  </si>
  <si>
    <t>Parcelamento - Acordo Cadprev 00225/2019 – 45/60 parcela</t>
  </si>
  <si>
    <t>Parcelamento - Acordo Cadprev 00537/2021 – 21/60 parcela</t>
  </si>
  <si>
    <t>Parcelamento - Acordo Cadprev 00223/2019 – 46/200 parcela</t>
  </si>
  <si>
    <t>Parcelamento - Acordo Cadprev 00225/2019 – 46/60 parcela</t>
  </si>
  <si>
    <t>Parcelamento - Acordo Cadprev 00537/2021 – 22/60 parcela</t>
  </si>
  <si>
    <t>Obs.: Não considera as transferencias e as despesas com vinculo 0150070000</t>
  </si>
  <si>
    <t>Parcelamento - Acordo Cadprev 00890/2013 – 119/240 parcela</t>
  </si>
  <si>
    <t>Folha dos Pensionistas – (32) pensionistas</t>
  </si>
  <si>
    <t>XP Investimentos C/C 81009-6</t>
  </si>
  <si>
    <t>Daycoval C/C 722351-1</t>
  </si>
  <si>
    <t>Itaú C/C 30843-1</t>
  </si>
  <si>
    <t>Parcelamento - Acordo Cadprev 00223/2019 – 47/200 parcela</t>
  </si>
  <si>
    <t>Parcelamento - Acordo Cadprev 00537/2021 – 23/60 parcela</t>
  </si>
  <si>
    <t>Parcelamento - Acordo Cadprev 00225/2019 – 47/60 parcela</t>
  </si>
  <si>
    <t>Parcelamento - Acordo Cadprev 00890/2013 – 120/240 parcela</t>
  </si>
  <si>
    <t>NTN-B 15/05/2040 (Compra em 17/02/20232 Tx 6,3250)</t>
  </si>
  <si>
    <t>NTN-B 15/05/2045 (Compra em 17/02/2023 Tx 6,3550)</t>
  </si>
  <si>
    <t>Aporte deficit Atuarial parcela 8/12</t>
  </si>
  <si>
    <t>Parcelamento - Acordo Cadprev 00890/2013 – 121/240 parcela</t>
  </si>
  <si>
    <t>Parcelamento - Acordo Cadprev 00223/2019 – 48/200 parcela</t>
  </si>
  <si>
    <t>Parcelamento - Acordo Cadprev 00225/2019 – 48/60 parcela</t>
  </si>
  <si>
    <t>Parcelamento - Acordo Cadprev 00537/2021 – 24/60 parcela</t>
  </si>
  <si>
    <t>NTN-B 15/05/2040 (Compra em 17/02/20232Tx 6,3250)</t>
  </si>
  <si>
    <t>Obs.: Rendimentos de aplicação no mês - R$ 843.907,18 (oitocentos e quarenta e três mil, novecentos e sete reais e dezoito centavos).</t>
  </si>
  <si>
    <t>Folha dos Aposentados – (147) aposentados</t>
  </si>
  <si>
    <t>Parcelamento - Acordo Cadprev 00223/2019 – 49/200 parcela</t>
  </si>
  <si>
    <t>Parcelamento - Acordo Cadprev 00225/2019 – 49/60 parcela</t>
  </si>
  <si>
    <t>Parcelamento - Acordo Cadprev 00537/2021 – 25/60 parcela</t>
  </si>
  <si>
    <t>Obs.: Rendimentos de aplicação no mês - R$ 665.379,16 (seiscentos e sessenta e cinco mil, trezentos e setenta e nove reais e dezesseis centavos).</t>
  </si>
  <si>
    <t>Parcelamento - Acordo Cadprev 00890/2013 – 122/240 parcela</t>
  </si>
  <si>
    <t>Parcelamento - Acordo Cadprev 00223/2019 – 50/200 parcela</t>
  </si>
  <si>
    <t>Parcelamento - Acordo Cadprev 00225/2019 – 50/60 parcela</t>
  </si>
  <si>
    <t>Parcelamento - Acordo Cadprev 00537/2021 – 26/60 parcela</t>
  </si>
  <si>
    <t>Folha dos Aposentados – (149) aposentados</t>
  </si>
  <si>
    <t>Obs.: Rendimentos de aplicação no mês - R$ 915.857,80 (novescentos e quinze mil oitocentos e cinquenta e sete reais e oitenta centavos).</t>
  </si>
  <si>
    <t>Aporte deficit Atuarial parcela 01/12</t>
  </si>
  <si>
    <t>Parcelamento - Acordo Cadprev 00223/2019 – 51/200 parcela</t>
  </si>
  <si>
    <t>Parcelamento - Acordo Cadprev 00225/2019 – 51/60 parcela</t>
  </si>
  <si>
    <t>Parcelamento - Acordo Cadprev 00537/2021 – 27/60 parcela</t>
  </si>
  <si>
    <t>Parcelamento - Acordo Cadprev 00890/2013 – 124/240 parcela</t>
  </si>
  <si>
    <t>Folha dos Aposentados – (148) aposentados</t>
  </si>
  <si>
    <t>Folha dos Pensionistas – (35) pensionistas</t>
  </si>
  <si>
    <t>Obs.: Rendimentos de aplicação no mês - R$ 775.996,29 (Setecentos e setenta e cinco mil, novecentos e noventa e seis reais e vinte e nove centavos).</t>
  </si>
  <si>
    <t>Parcelamento - Acordo Cadprev 00890/2013 – 125/240 parcela</t>
  </si>
  <si>
    <t>Parcelamento - Acordo Cadprev 00223/2019 – 52/200 parcela</t>
  </si>
  <si>
    <t>Parcelamento - Acordo Cadprev 00225/2019 – 52/60 parcela</t>
  </si>
  <si>
    <t>Parcelamento - Acordo Cadprev 00537/2021 – 28/60 parcela</t>
  </si>
  <si>
    <t>Folha do Instituto (6)</t>
  </si>
  <si>
    <t>Folha dos Pensionistas – (39) pensionistas</t>
  </si>
  <si>
    <t>Obs.: Rendimentos de aplicação no mês - R$ 549,159,95 (Quinhentos e quarenta e nove mil, cento e cinquenta e nove reais e noventa e cinco centavos).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</si>
</sst>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&quot; &quot;#,##0.00;[Red]&quot;-&quot;[$R$-416]&quot; &quot;#,##0.00"/>
    <numFmt numFmtId="165" formatCode="[$$-409]#,##0.00;[Red]&quot;-&quot;[$$-409]#,##0.00"/>
    <numFmt numFmtId="166" formatCode="&quot; R$ &quot;#,##0.00&quot; &quot;;&quot; R$ &quot;&quot;(&quot;#,##0.00&quot;)&quot;;&quot; R$ &quot;&quot;-&quot;#&quot; &quot;;&quot; &quot;@&quot; &quot;"/>
    <numFmt numFmtId="167" formatCode="[$R$-416]\ #,##0.00;[Red][$R$-416]\ #,##0.00"/>
  </numFmts>
  <fonts count="44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color rgb="FF808080"/>
      <name val="Calibri"/>
      <family val="2"/>
    </font>
    <font>
      <sz val="10"/>
      <color rgb="FFCC0000"/>
      <name val="Calibri"/>
      <family val="2"/>
    </font>
    <font>
      <i/>
      <sz val="11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sz val="14"/>
      <color rgb="FF000000"/>
      <name val="Liberation Sans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Liberation Sans1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color rgb="FFFFFFFF"/>
      <name val="Calibri Light"/>
      <family val="2"/>
      <scheme val="major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sz val="11"/>
      <color rgb="FF9C5700"/>
      <name val="Calibri"/>
      <family val="2"/>
      <scheme val="minor"/>
    </font>
    <font>
      <sz val="13"/>
      <color rgb="FF000000"/>
      <name val="Arial Black"/>
      <family val="2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1"/>
      <name val="Calibri"/>
      <family val="2"/>
    </font>
    <font>
      <sz val="10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1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E6E6E6"/>
        <bgColor rgb="FFE6E6E6"/>
      </patternFill>
    </fill>
    <fill>
      <patternFill patternType="solid">
        <fgColor rgb="FFFFCCCC"/>
        <bgColor rgb="FFFFCCCC"/>
      </patternFill>
    </fill>
    <fill>
      <patternFill patternType="solid">
        <fgColor rgb="FFC7C7C7"/>
        <bgColor rgb="FFC7C7C7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CF00"/>
        <bgColor rgb="FFFFC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003366"/>
        <bgColor rgb="FF003366"/>
      </patternFill>
    </fill>
    <fill>
      <patternFill patternType="solid">
        <fgColor rgb="FF33CCCC"/>
        <bgColor rgb="FF33CCCC"/>
      </patternFill>
    </fill>
    <fill>
      <patternFill patternType="solid">
        <fgColor rgb="FF99CCFF"/>
        <bgColor rgb="FF99CCFF"/>
      </patternFill>
    </fill>
    <fill>
      <patternFill patternType="solid">
        <fgColor rgb="FFFFEB9C"/>
      </patternFill>
    </fill>
  </fills>
  <borders count="46">
    <border>
      <left/>
      <right/>
      <top/>
      <bottom/>
      <diagonal/>
    </border>
    <border>
      <left/>
      <right/>
      <top/>
      <bottom style="medium">
        <color rgb="FF4C4C4C"/>
      </bottom>
      <diagonal/>
    </border>
    <border>
      <left style="medium">
        <color rgb="FFE6E6E6"/>
      </left>
      <right/>
      <top/>
      <bottom style="medium">
        <color rgb="FF4C4C4C"/>
      </bottom>
      <diagonal/>
    </border>
    <border>
      <left/>
      <right style="medium">
        <color rgb="FF4C4C4C"/>
      </right>
      <top/>
      <bottom style="medium">
        <color rgb="FF4C4C4C"/>
      </bottom>
      <diagonal/>
    </border>
    <border>
      <left style="medium">
        <color rgb="FFE6E6E6"/>
      </left>
      <right/>
      <top/>
      <bottom/>
      <diagonal/>
    </border>
    <border>
      <left/>
      <right style="medium">
        <color rgb="FF4C4C4C"/>
      </right>
      <top/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 style="medium">
        <color rgb="FF4C4C4C"/>
      </right>
      <top style="medium">
        <color rgb="FFE6E6E6"/>
      </top>
      <bottom/>
      <diagonal/>
    </border>
    <border>
      <left style="thin">
        <color rgb="FF808080"/>
      </left>
      <right style="double">
        <color rgb="FFB3B3B3"/>
      </right>
      <top style="thin">
        <color rgb="FF808080"/>
      </top>
      <bottom/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medium">
        <color rgb="FF4C4C4C"/>
      </bottom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thick">
        <color rgb="FFFFCF0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E6E6E6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7" borderId="0">
      <alignment wrapText="1"/>
    </xf>
    <xf numFmtId="0" fontId="1" fillId="7" borderId="1">
      <alignment wrapText="1"/>
    </xf>
    <xf numFmtId="0" fontId="1" fillId="7" borderId="2">
      <alignment wrapText="1"/>
    </xf>
    <xf numFmtId="0" fontId="1" fillId="7" borderId="3">
      <alignment wrapText="1"/>
    </xf>
    <xf numFmtId="0" fontId="1" fillId="7" borderId="4">
      <alignment wrapText="1"/>
    </xf>
    <xf numFmtId="0" fontId="1" fillId="7" borderId="5">
      <alignment wrapText="1"/>
    </xf>
    <xf numFmtId="0" fontId="1" fillId="7" borderId="6">
      <alignment wrapText="1"/>
    </xf>
    <xf numFmtId="0" fontId="1" fillId="7" borderId="7">
      <alignment wrapText="1"/>
    </xf>
    <xf numFmtId="0" fontId="1" fillId="7" borderId="8">
      <alignment wrapText="1"/>
    </xf>
    <xf numFmtId="0" fontId="6" fillId="7" borderId="9">
      <alignment horizontal="center" wrapText="1"/>
    </xf>
    <xf numFmtId="0" fontId="7" fillId="8" borderId="0"/>
    <xf numFmtId="0" fontId="8" fillId="0" borderId="0"/>
    <xf numFmtId="0" fontId="9" fillId="9" borderId="0"/>
    <xf numFmtId="0" fontId="10" fillId="10" borderId="10">
      <alignment horizontal="center"/>
    </xf>
    <xf numFmtId="0" fontId="11" fillId="0" borderId="0"/>
    <xf numFmtId="0" fontId="12" fillId="0" borderId="0"/>
    <xf numFmtId="0" fontId="13" fillId="0" borderId="0"/>
    <xf numFmtId="0" fontId="14" fillId="10" borderId="11">
      <alignment horizontal="center"/>
    </xf>
    <xf numFmtId="0" fontId="15" fillId="0" borderId="0"/>
    <xf numFmtId="165" fontId="1" fillId="11" borderId="12">
      <protection locked="0"/>
    </xf>
    <xf numFmtId="0" fontId="16" fillId="12" borderId="0"/>
    <xf numFmtId="0" fontId="17" fillId="12" borderId="13"/>
    <xf numFmtId="165" fontId="1" fillId="5" borderId="14"/>
    <xf numFmtId="0" fontId="18" fillId="0" borderId="0"/>
    <xf numFmtId="164" fontId="19" fillId="5" borderId="14"/>
    <xf numFmtId="0" fontId="1" fillId="0" borderId="0"/>
    <xf numFmtId="0" fontId="1" fillId="0" borderId="0"/>
    <xf numFmtId="0" fontId="5" fillId="0" borderId="0"/>
    <xf numFmtId="0" fontId="28" fillId="0" borderId="0"/>
    <xf numFmtId="166" fontId="1" fillId="0" borderId="0"/>
    <xf numFmtId="0" fontId="29" fillId="0" borderId="0"/>
    <xf numFmtId="44" fontId="1" fillId="0" borderId="0" applyFont="0" applyFill="0" applyBorder="0" applyAlignment="0" applyProtection="0"/>
    <xf numFmtId="0" fontId="30" fillId="16" borderId="0" applyNumberFormat="0" applyBorder="0" applyAlignment="0" applyProtection="0"/>
    <xf numFmtId="43" fontId="1" fillId="0" borderId="0" applyFont="0" applyFill="0" applyBorder="0" applyAlignment="0" applyProtection="0"/>
  </cellStyleXfs>
  <cellXfs count="401">
    <xf numFmtId="0" fontId="0" fillId="0" borderId="0" xfId="0"/>
    <xf numFmtId="0" fontId="0" fillId="11" borderId="0" xfId="0" applyFill="1"/>
    <xf numFmtId="0" fontId="0" fillId="11" borderId="15" xfId="0" applyFill="1" applyBorder="1"/>
    <xf numFmtId="0" fontId="0" fillId="11" borderId="18" xfId="0" applyFill="1" applyBorder="1"/>
    <xf numFmtId="0" fontId="0" fillId="11" borderId="20" xfId="0" applyFill="1" applyBorder="1"/>
    <xf numFmtId="0" fontId="0" fillId="11" borderId="0" xfId="0" applyFill="1" applyAlignment="1">
      <alignment vertical="center"/>
    </xf>
    <xf numFmtId="0" fontId="0" fillId="0" borderId="0" xfId="0" applyAlignment="1">
      <alignment vertical="center"/>
    </xf>
    <xf numFmtId="49" fontId="20" fillId="14" borderId="24" xfId="0" applyNumberFormat="1" applyFont="1" applyFill="1" applyBorder="1" applyAlignment="1">
      <alignment horizontal="center"/>
    </xf>
    <xf numFmtId="0" fontId="0" fillId="0" borderId="24" xfId="0" applyBorder="1" applyAlignment="1">
      <alignment vertical="center"/>
    </xf>
    <xf numFmtId="0" fontId="19" fillId="15" borderId="24" xfId="0" applyFont="1" applyFill="1" applyBorder="1" applyAlignment="1">
      <alignment horizontal="center" vertical="center"/>
    </xf>
    <xf numFmtId="0" fontId="22" fillId="13" borderId="27" xfId="0" applyFont="1" applyFill="1" applyBorder="1" applyAlignment="1">
      <alignment horizontal="center" vertical="center"/>
    </xf>
    <xf numFmtId="0" fontId="19" fillId="15" borderId="23" xfId="0" applyFont="1" applyFill="1" applyBorder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0" fillId="11" borderId="16" xfId="0" applyNumberFormat="1" applyFill="1" applyBorder="1"/>
    <xf numFmtId="164" fontId="0" fillId="11" borderId="17" xfId="0" applyNumberFormat="1" applyFill="1" applyBorder="1"/>
    <xf numFmtId="164" fontId="0" fillId="11" borderId="0" xfId="0" applyNumberFormat="1" applyFill="1"/>
    <xf numFmtId="164" fontId="0" fillId="11" borderId="19" xfId="0" applyNumberFormat="1" applyFill="1" applyBorder="1"/>
    <xf numFmtId="164" fontId="0" fillId="11" borderId="21" xfId="0" applyNumberFormat="1" applyFill="1" applyBorder="1"/>
    <xf numFmtId="164" fontId="0" fillId="11" borderId="22" xfId="0" applyNumberFormat="1" applyFill="1" applyBorder="1"/>
    <xf numFmtId="0" fontId="19" fillId="11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11" borderId="0" xfId="0" applyFont="1" applyFill="1"/>
    <xf numFmtId="164" fontId="20" fillId="14" borderId="24" xfId="0" applyNumberFormat="1" applyFont="1" applyFill="1" applyBorder="1" applyAlignment="1">
      <alignment horizontal="center"/>
    </xf>
    <xf numFmtId="0" fontId="19" fillId="0" borderId="0" xfId="0" applyFont="1"/>
    <xf numFmtId="164" fontId="21" fillId="0" borderId="0" xfId="0" applyNumberFormat="1" applyFont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0" fontId="20" fillId="14" borderId="24" xfId="0" applyFont="1" applyFill="1" applyBorder="1" applyAlignment="1">
      <alignment vertical="center"/>
    </xf>
    <xf numFmtId="164" fontId="20" fillId="14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 vertical="center"/>
    </xf>
    <xf numFmtId="0" fontId="20" fillId="14" borderId="25" xfId="0" applyFont="1" applyFill="1" applyBorder="1" applyAlignment="1">
      <alignment vertical="center"/>
    </xf>
    <xf numFmtId="164" fontId="20" fillId="14" borderId="25" xfId="0" applyNumberFormat="1" applyFont="1" applyFill="1" applyBorder="1" applyAlignment="1">
      <alignment horizontal="right" vertical="center"/>
    </xf>
    <xf numFmtId="0" fontId="19" fillId="11" borderId="26" xfId="0" applyFont="1" applyFill="1" applyBorder="1"/>
    <xf numFmtId="164" fontId="22" fillId="13" borderId="28" xfId="0" applyNumberFormat="1" applyFont="1" applyFill="1" applyBorder="1" applyAlignment="1">
      <alignment horizontal="right" vertical="center"/>
    </xf>
    <xf numFmtId="164" fontId="22" fillId="13" borderId="29" xfId="0" applyNumberFormat="1" applyFont="1" applyFill="1" applyBorder="1" applyAlignment="1">
      <alignment horizontal="right" vertical="center"/>
    </xf>
    <xf numFmtId="0" fontId="20" fillId="13" borderId="15" xfId="0" applyFont="1" applyFill="1" applyBorder="1" applyAlignment="1">
      <alignment horizontal="center" vertical="center"/>
    </xf>
    <xf numFmtId="164" fontId="20" fillId="13" borderId="17" xfId="0" applyNumberFormat="1" applyFont="1" applyFill="1" applyBorder="1" applyAlignment="1">
      <alignment horizontal="center" vertical="center"/>
    </xf>
    <xf numFmtId="164" fontId="19" fillId="11" borderId="0" xfId="0" applyNumberFormat="1" applyFont="1" applyFill="1"/>
    <xf numFmtId="164" fontId="19" fillId="15" borderId="23" xfId="0" applyNumberFormat="1" applyFont="1" applyFill="1" applyBorder="1" applyAlignment="1">
      <alignment horizontal="center"/>
    </xf>
    <xf numFmtId="164" fontId="19" fillId="15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center"/>
    </xf>
    <xf numFmtId="164" fontId="0" fillId="0" borderId="0" xfId="0" applyNumberFormat="1"/>
    <xf numFmtId="164" fontId="20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/>
    <xf numFmtId="164" fontId="21" fillId="11" borderId="16" xfId="0" applyNumberFormat="1" applyFont="1" applyFill="1" applyBorder="1"/>
    <xf numFmtId="164" fontId="21" fillId="11" borderId="17" xfId="0" applyNumberFormat="1" applyFont="1" applyFill="1" applyBorder="1"/>
    <xf numFmtId="0" fontId="21" fillId="11" borderId="18" xfId="0" applyFont="1" applyFill="1" applyBorder="1"/>
    <xf numFmtId="164" fontId="21" fillId="11" borderId="0" xfId="0" applyNumberFormat="1" applyFont="1" applyFill="1"/>
    <xf numFmtId="164" fontId="21" fillId="11" borderId="19" xfId="0" applyNumberFormat="1" applyFont="1" applyFill="1" applyBorder="1"/>
    <xf numFmtId="0" fontId="21" fillId="11" borderId="20" xfId="0" applyFont="1" applyFill="1" applyBorder="1"/>
    <xf numFmtId="164" fontId="21" fillId="11" borderId="21" xfId="0" applyNumberFormat="1" applyFont="1" applyFill="1" applyBorder="1"/>
    <xf numFmtId="164" fontId="21" fillId="11" borderId="22" xfId="0" applyNumberFormat="1" applyFont="1" applyFill="1" applyBorder="1"/>
    <xf numFmtId="49" fontId="7" fillId="14" borderId="24" xfId="0" applyNumberFormat="1" applyFont="1" applyFill="1" applyBorder="1" applyAlignment="1">
      <alignment horizontal="center"/>
    </xf>
    <xf numFmtId="164" fontId="7" fillId="14" borderId="24" xfId="0" applyNumberFormat="1" applyFont="1" applyFill="1" applyBorder="1" applyAlignment="1">
      <alignment horizontal="center"/>
    </xf>
    <xf numFmtId="0" fontId="21" fillId="0" borderId="24" xfId="0" applyFont="1" applyBorder="1" applyAlignment="1">
      <alignment vertical="center"/>
    </xf>
    <xf numFmtId="164" fontId="21" fillId="0" borderId="24" xfId="0" applyNumberFormat="1" applyFont="1" applyBorder="1" applyAlignment="1">
      <alignment horizontal="right" vertical="center"/>
    </xf>
    <xf numFmtId="0" fontId="7" fillId="14" borderId="24" xfId="0" applyFont="1" applyFill="1" applyBorder="1" applyAlignment="1">
      <alignment vertical="center"/>
    </xf>
    <xf numFmtId="164" fontId="7" fillId="14" borderId="24" xfId="0" applyNumberFormat="1" applyFont="1" applyFill="1" applyBorder="1" applyAlignment="1">
      <alignment horizontal="right" vertical="center"/>
    </xf>
    <xf numFmtId="0" fontId="21" fillId="11" borderId="0" xfId="0" applyFont="1" applyFill="1"/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0" fontId="2" fillId="15" borderId="24" xfId="0" applyFont="1" applyFill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/>
    </xf>
    <xf numFmtId="164" fontId="21" fillId="0" borderId="25" xfId="0" applyNumberFormat="1" applyFont="1" applyBorder="1" applyAlignment="1">
      <alignment horizontal="right" vertical="center"/>
    </xf>
    <xf numFmtId="0" fontId="7" fillId="14" borderId="25" xfId="0" applyFont="1" applyFill="1" applyBorder="1" applyAlignment="1">
      <alignment vertical="center"/>
    </xf>
    <xf numFmtId="164" fontId="7" fillId="14" borderId="25" xfId="0" applyNumberFormat="1" applyFont="1" applyFill="1" applyBorder="1" applyAlignment="1">
      <alignment horizontal="right" vertical="center"/>
    </xf>
    <xf numFmtId="0" fontId="7" fillId="13" borderId="27" xfId="0" applyFont="1" applyFill="1" applyBorder="1" applyAlignment="1">
      <alignment horizontal="center" vertical="center"/>
    </xf>
    <xf numFmtId="164" fontId="7" fillId="13" borderId="28" xfId="0" applyNumberFormat="1" applyFont="1" applyFill="1" applyBorder="1" applyAlignment="1">
      <alignment horizontal="right" vertical="center"/>
    </xf>
    <xf numFmtId="164" fontId="7" fillId="13" borderId="29" xfId="0" applyNumberFormat="1" applyFont="1" applyFill="1" applyBorder="1" applyAlignment="1">
      <alignment horizontal="right" vertical="center"/>
    </xf>
    <xf numFmtId="0" fontId="7" fillId="13" borderId="15" xfId="0" applyFont="1" applyFill="1" applyBorder="1" applyAlignment="1">
      <alignment horizontal="center" vertical="center"/>
    </xf>
    <xf numFmtId="164" fontId="7" fillId="13" borderId="17" xfId="0" applyNumberFormat="1" applyFont="1" applyFill="1" applyBorder="1" applyAlignment="1">
      <alignment horizontal="center" vertical="center"/>
    </xf>
    <xf numFmtId="164" fontId="2" fillId="11" borderId="0" xfId="0" applyNumberFormat="1" applyFont="1" applyFill="1"/>
    <xf numFmtId="0" fontId="2" fillId="15" borderId="23" xfId="0" applyFont="1" applyFill="1" applyBorder="1" applyAlignment="1">
      <alignment horizontal="center" vertical="center"/>
    </xf>
    <xf numFmtId="164" fontId="2" fillId="15" borderId="23" xfId="0" applyNumberFormat="1" applyFont="1" applyFill="1" applyBorder="1" applyAlignment="1">
      <alignment horizontal="center"/>
    </xf>
    <xf numFmtId="164" fontId="2" fillId="15" borderId="24" xfId="0" applyNumberFormat="1" applyFont="1" applyFill="1" applyBorder="1" applyAlignment="1">
      <alignment horizontal="right" vertical="center"/>
    </xf>
    <xf numFmtId="164" fontId="2" fillId="15" borderId="24" xfId="0" applyNumberFormat="1" applyFont="1" applyFill="1" applyBorder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0" fontId="7" fillId="13" borderId="30" xfId="0" applyFont="1" applyFill="1" applyBorder="1" applyAlignment="1">
      <alignment horizontal="center" vertical="center"/>
    </xf>
    <xf numFmtId="164" fontId="7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 applyAlignment="1">
      <alignment vertical="center"/>
    </xf>
    <xf numFmtId="164" fontId="21" fillId="11" borderId="16" xfId="0" applyNumberFormat="1" applyFont="1" applyFill="1" applyBorder="1" applyAlignment="1">
      <alignment vertical="center"/>
    </xf>
    <xf numFmtId="164" fontId="21" fillId="11" borderId="17" xfId="0" applyNumberFormat="1" applyFont="1" applyFill="1" applyBorder="1" applyAlignment="1">
      <alignment vertical="center"/>
    </xf>
    <xf numFmtId="164" fontId="23" fillId="0" borderId="24" xfId="0" applyNumberFormat="1" applyFont="1" applyBorder="1" applyAlignment="1">
      <alignment horizontal="center" vertical="center"/>
    </xf>
    <xf numFmtId="0" fontId="21" fillId="11" borderId="18" xfId="0" applyFont="1" applyFill="1" applyBorder="1" applyAlignment="1">
      <alignment vertical="center"/>
    </xf>
    <xf numFmtId="164" fontId="21" fillId="11" borderId="0" xfId="0" applyNumberFormat="1" applyFont="1" applyFill="1" applyAlignment="1">
      <alignment vertical="center"/>
    </xf>
    <xf numFmtId="164" fontId="21" fillId="11" borderId="19" xfId="0" applyNumberFormat="1" applyFont="1" applyFill="1" applyBorder="1" applyAlignment="1">
      <alignment vertical="center"/>
    </xf>
    <xf numFmtId="0" fontId="23" fillId="0" borderId="24" xfId="0" applyFont="1" applyBorder="1" applyAlignment="1">
      <alignment horizontal="center" vertical="center"/>
    </xf>
    <xf numFmtId="0" fontId="21" fillId="11" borderId="20" xfId="0" applyFont="1" applyFill="1" applyBorder="1" applyAlignment="1">
      <alignment vertical="center"/>
    </xf>
    <xf numFmtId="164" fontId="21" fillId="11" borderId="21" xfId="0" applyNumberFormat="1" applyFont="1" applyFill="1" applyBorder="1" applyAlignment="1">
      <alignment vertical="center"/>
    </xf>
    <xf numFmtId="164" fontId="21" fillId="11" borderId="22" xfId="0" applyNumberFormat="1" applyFont="1" applyFill="1" applyBorder="1" applyAlignment="1">
      <alignment vertical="center"/>
    </xf>
    <xf numFmtId="164" fontId="0" fillId="11" borderId="0" xfId="0" applyNumberFormat="1" applyFill="1" applyAlignment="1">
      <alignment vertical="center"/>
    </xf>
    <xf numFmtId="164" fontId="24" fillId="0" borderId="24" xfId="0" applyNumberFormat="1" applyFont="1" applyBorder="1" applyAlignment="1">
      <alignment horizontal="center" vertical="center"/>
    </xf>
    <xf numFmtId="0" fontId="21" fillId="11" borderId="0" xfId="0" applyFont="1" applyFill="1" applyAlignment="1">
      <alignment vertical="center"/>
    </xf>
    <xf numFmtId="164" fontId="2" fillId="0" borderId="24" xfId="0" applyNumberFormat="1" applyFont="1" applyBorder="1" applyAlignment="1">
      <alignment horizontal="right" vertical="center"/>
    </xf>
    <xf numFmtId="164" fontId="19" fillId="11" borderId="0" xfId="0" applyNumberFormat="1" applyFont="1" applyFill="1" applyAlignment="1">
      <alignment vertical="center"/>
    </xf>
    <xf numFmtId="164" fontId="2" fillId="11" borderId="0" xfId="0" applyNumberFormat="1" applyFont="1" applyFill="1" applyAlignment="1">
      <alignment vertical="center"/>
    </xf>
    <xf numFmtId="164" fontId="2" fillId="15" borderId="23" xfId="0" applyNumberFormat="1" applyFont="1" applyFill="1" applyBorder="1" applyAlignment="1">
      <alignment horizontal="center" vertical="center"/>
    </xf>
    <xf numFmtId="164" fontId="2" fillId="15" borderId="2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" fillId="11" borderId="17" xfId="0" applyNumberFormat="1" applyFont="1" applyFill="1" applyBorder="1" applyAlignment="1">
      <alignment vertical="center"/>
    </xf>
    <xf numFmtId="164" fontId="2" fillId="11" borderId="19" xfId="0" applyNumberFormat="1" applyFont="1" applyFill="1" applyBorder="1" applyAlignment="1">
      <alignment vertical="center"/>
    </xf>
    <xf numFmtId="164" fontId="2" fillId="11" borderId="22" xfId="0" applyNumberFormat="1" applyFont="1" applyFill="1" applyBorder="1" applyAlignment="1">
      <alignment vertical="center"/>
    </xf>
    <xf numFmtId="0" fontId="19" fillId="11" borderId="26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5" fillId="11" borderId="0" xfId="0" applyFont="1" applyFill="1" applyAlignment="1">
      <alignment vertical="center"/>
    </xf>
    <xf numFmtId="164" fontId="25" fillId="11" borderId="16" xfId="0" applyNumberFormat="1" applyFont="1" applyFill="1" applyBorder="1" applyAlignment="1">
      <alignment vertical="center"/>
    </xf>
    <xf numFmtId="0" fontId="25" fillId="0" borderId="0" xfId="0" applyFont="1"/>
    <xf numFmtId="164" fontId="25" fillId="11" borderId="0" xfId="0" applyNumberFormat="1" applyFont="1" applyFill="1" applyAlignment="1">
      <alignment vertical="center"/>
    </xf>
    <xf numFmtId="164" fontId="25" fillId="11" borderId="21" xfId="0" applyNumberFormat="1" applyFont="1" applyFill="1" applyBorder="1" applyAlignment="1">
      <alignment vertical="center"/>
    </xf>
    <xf numFmtId="0" fontId="26" fillId="11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49" fontId="27" fillId="14" borderId="24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164" fontId="25" fillId="0" borderId="24" xfId="0" applyNumberFormat="1" applyFont="1" applyBorder="1" applyAlignment="1">
      <alignment horizontal="right" vertical="center"/>
    </xf>
    <xf numFmtId="0" fontId="27" fillId="14" borderId="24" xfId="0" applyFont="1" applyFill="1" applyBorder="1" applyAlignment="1">
      <alignment vertical="center"/>
    </xf>
    <xf numFmtId="164" fontId="27" fillId="14" borderId="24" xfId="0" applyNumberFormat="1" applyFont="1" applyFill="1" applyBorder="1" applyAlignment="1">
      <alignment horizontal="right" vertical="center"/>
    </xf>
    <xf numFmtId="0" fontId="26" fillId="15" borderId="24" xfId="0" applyFont="1" applyFill="1" applyBorder="1" applyAlignment="1">
      <alignment horizontal="center" vertical="center"/>
    </xf>
    <xf numFmtId="164" fontId="25" fillId="0" borderId="25" xfId="0" applyNumberFormat="1" applyFont="1" applyBorder="1" applyAlignment="1">
      <alignment horizontal="right" vertical="center"/>
    </xf>
    <xf numFmtId="0" fontId="27" fillId="14" borderId="25" xfId="0" applyFont="1" applyFill="1" applyBorder="1" applyAlignment="1">
      <alignment vertical="center"/>
    </xf>
    <xf numFmtId="164" fontId="27" fillId="14" borderId="25" xfId="0" applyNumberFormat="1" applyFont="1" applyFill="1" applyBorder="1" applyAlignment="1">
      <alignment horizontal="right" vertical="center"/>
    </xf>
    <xf numFmtId="0" fontId="26" fillId="11" borderId="26" xfId="0" applyFont="1" applyFill="1" applyBorder="1" applyAlignment="1">
      <alignment vertical="center"/>
    </xf>
    <xf numFmtId="0" fontId="27" fillId="13" borderId="27" xfId="0" applyFont="1" applyFill="1" applyBorder="1" applyAlignment="1">
      <alignment horizontal="center" vertical="center"/>
    </xf>
    <xf numFmtId="164" fontId="27" fillId="13" borderId="28" xfId="0" applyNumberFormat="1" applyFont="1" applyFill="1" applyBorder="1" applyAlignment="1">
      <alignment horizontal="right" vertical="center"/>
    </xf>
    <xf numFmtId="0" fontId="27" fillId="13" borderId="15" xfId="0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0" fontId="26" fillId="15" borderId="23" xfId="0" applyFont="1" applyFill="1" applyBorder="1" applyAlignment="1">
      <alignment horizontal="center" vertical="center"/>
    </xf>
    <xf numFmtId="164" fontId="26" fillId="15" borderId="23" xfId="0" applyNumberFormat="1" applyFont="1" applyFill="1" applyBorder="1" applyAlignment="1">
      <alignment horizontal="center" vertical="center"/>
    </xf>
    <xf numFmtId="164" fontId="26" fillId="15" borderId="2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7" fillId="13" borderId="30" xfId="0" applyFont="1" applyFill="1" applyBorder="1" applyAlignment="1">
      <alignment horizontal="center" vertical="center"/>
    </xf>
    <xf numFmtId="164" fontId="27" fillId="13" borderId="24" xfId="0" applyNumberFormat="1" applyFont="1" applyFill="1" applyBorder="1" applyAlignment="1">
      <alignment horizontal="right" vertical="center"/>
    </xf>
    <xf numFmtId="164" fontId="25" fillId="0" borderId="23" xfId="0" applyNumberFormat="1" applyFont="1" applyBorder="1" applyAlignment="1">
      <alignment horizontal="right" vertical="center"/>
    </xf>
    <xf numFmtId="0" fontId="25" fillId="0" borderId="30" xfId="0" applyFont="1" applyBorder="1" applyAlignment="1">
      <alignment vertical="center"/>
    </xf>
    <xf numFmtId="164" fontId="27" fillId="14" borderId="25" xfId="0" applyNumberFormat="1" applyFont="1" applyFill="1" applyBorder="1" applyAlignment="1">
      <alignment horizontal="center" vertical="center"/>
    </xf>
    <xf numFmtId="164" fontId="25" fillId="0" borderId="32" xfId="0" applyNumberFormat="1" applyFont="1" applyBorder="1" applyAlignment="1">
      <alignment horizontal="right" vertical="center"/>
    </xf>
    <xf numFmtId="0" fontId="27" fillId="13" borderId="23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167" fontId="25" fillId="11" borderId="0" xfId="0" applyNumberFormat="1" applyFont="1" applyFill="1" applyAlignment="1">
      <alignment vertical="center"/>
    </xf>
    <xf numFmtId="44" fontId="25" fillId="11" borderId="0" xfId="38" applyFont="1" applyFill="1" applyBorder="1" applyAlignment="1">
      <alignment vertical="center"/>
    </xf>
    <xf numFmtId="44" fontId="26" fillId="11" borderId="0" xfId="38" applyFont="1" applyFill="1" applyAlignment="1">
      <alignment horizontal="center" vertical="center"/>
    </xf>
    <xf numFmtId="44" fontId="26" fillId="11" borderId="0" xfId="38" applyFont="1" applyFill="1" applyAlignment="1">
      <alignment vertical="center"/>
    </xf>
    <xf numFmtId="44" fontId="25" fillId="11" borderId="0" xfId="38" applyFont="1" applyFill="1" applyAlignment="1">
      <alignment vertical="center"/>
    </xf>
    <xf numFmtId="44" fontId="25" fillId="0" borderId="0" xfId="38" applyFont="1"/>
    <xf numFmtId="44" fontId="30" fillId="16" borderId="0" xfId="39" applyNumberFormat="1" applyAlignment="1">
      <alignment vertical="center"/>
    </xf>
    <xf numFmtId="164" fontId="25" fillId="11" borderId="0" xfId="0" applyNumberFormat="1" applyFont="1" applyFill="1" applyAlignment="1">
      <alignment horizontal="right" vertical="center"/>
    </xf>
    <xf numFmtId="0" fontId="1" fillId="0" borderId="0" xfId="33"/>
    <xf numFmtId="167" fontId="1" fillId="0" borderId="0" xfId="33" applyNumberFormat="1"/>
    <xf numFmtId="0" fontId="26" fillId="15" borderId="30" xfId="0" applyFont="1" applyFill="1" applyBorder="1" applyAlignment="1">
      <alignment horizontal="center" vertical="center"/>
    </xf>
    <xf numFmtId="164" fontId="26" fillId="15" borderId="33" xfId="0" applyNumberFormat="1" applyFont="1" applyFill="1" applyBorder="1" applyAlignment="1">
      <alignment vertical="center"/>
    </xf>
    <xf numFmtId="164" fontId="25" fillId="0" borderId="33" xfId="0" applyNumberFormat="1" applyFont="1" applyBorder="1" applyAlignment="1">
      <alignment vertical="center"/>
    </xf>
    <xf numFmtId="164" fontId="27" fillId="13" borderId="33" xfId="0" applyNumberFormat="1" applyFont="1" applyFill="1" applyBorder="1" applyAlignment="1">
      <alignment vertical="center"/>
    </xf>
    <xf numFmtId="0" fontId="25" fillId="11" borderId="18" xfId="0" applyFont="1" applyFill="1" applyBorder="1" applyAlignment="1">
      <alignment vertical="center"/>
    </xf>
    <xf numFmtId="0" fontId="25" fillId="0" borderId="18" xfId="0" applyFont="1" applyBorder="1" applyAlignment="1">
      <alignment vertical="center"/>
    </xf>
    <xf numFmtId="164" fontId="27" fillId="13" borderId="3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vertical="center"/>
    </xf>
    <xf numFmtId="164" fontId="25" fillId="0" borderId="24" xfId="0" applyNumberFormat="1" applyFont="1" applyBorder="1" applyAlignment="1">
      <alignment vertical="center"/>
    </xf>
    <xf numFmtId="164" fontId="27" fillId="13" borderId="24" xfId="0" applyNumberFormat="1" applyFont="1" applyFill="1" applyBorder="1" applyAlignment="1">
      <alignment vertical="center"/>
    </xf>
    <xf numFmtId="0" fontId="27" fillId="13" borderId="35" xfId="0" applyFont="1" applyFill="1" applyBorder="1" applyAlignment="1">
      <alignment horizontal="center" vertical="center"/>
    </xf>
    <xf numFmtId="164" fontId="27" fillId="13" borderId="36" xfId="0" applyNumberFormat="1" applyFont="1" applyFill="1" applyBorder="1" applyAlignment="1">
      <alignment horizontal="right" vertical="center"/>
    </xf>
    <xf numFmtId="0" fontId="26" fillId="15" borderId="33" xfId="0" applyFont="1" applyFill="1" applyBorder="1" applyAlignment="1">
      <alignment horizontal="center" vertical="center"/>
    </xf>
    <xf numFmtId="0" fontId="25" fillId="0" borderId="33" xfId="0" applyFont="1" applyBorder="1" applyAlignment="1">
      <alignment vertical="center"/>
    </xf>
    <xf numFmtId="0" fontId="27" fillId="13" borderId="33" xfId="0" applyFont="1" applyFill="1" applyBorder="1" applyAlignment="1">
      <alignment horizontal="center" vertical="center"/>
    </xf>
    <xf numFmtId="44" fontId="25" fillId="0" borderId="32" xfId="38" applyFont="1" applyBorder="1" applyAlignment="1">
      <alignment horizontal="right" vertical="center"/>
    </xf>
    <xf numFmtId="44" fontId="25" fillId="0" borderId="23" xfId="38" applyFont="1" applyBorder="1" applyAlignment="1">
      <alignment vertical="center"/>
    </xf>
    <xf numFmtId="44" fontId="25" fillId="0" borderId="24" xfId="38" applyFont="1" applyBorder="1" applyAlignment="1">
      <alignment horizontal="right" vertical="center"/>
    </xf>
    <xf numFmtId="44" fontId="25" fillId="0" borderId="24" xfId="38" applyFont="1" applyBorder="1" applyAlignment="1">
      <alignment vertical="center"/>
    </xf>
    <xf numFmtId="44" fontId="25" fillId="0" borderId="25" xfId="38" applyFont="1" applyBorder="1" applyAlignment="1">
      <alignment vertical="center"/>
    </xf>
    <xf numFmtId="44" fontId="27" fillId="13" borderId="23" xfId="38" applyFont="1" applyFill="1" applyBorder="1" applyAlignment="1">
      <alignment horizontal="center" vertical="center"/>
    </xf>
    <xf numFmtId="44" fontId="26" fillId="15" borderId="33" xfId="38" applyFont="1" applyFill="1" applyBorder="1" applyAlignment="1">
      <alignment horizontal="center" vertical="center"/>
    </xf>
    <xf numFmtId="44" fontId="25" fillId="0" borderId="33" xfId="38" applyFont="1" applyBorder="1" applyAlignment="1">
      <alignment vertical="center"/>
    </xf>
    <xf numFmtId="44" fontId="25" fillId="0" borderId="0" xfId="38" applyFont="1" applyBorder="1" applyAlignment="1">
      <alignment vertical="center"/>
    </xf>
    <xf numFmtId="44" fontId="27" fillId="13" borderId="33" xfId="38" applyFont="1" applyFill="1" applyBorder="1" applyAlignment="1">
      <alignment horizontal="center" vertical="center"/>
    </xf>
    <xf numFmtId="0" fontId="26" fillId="15" borderId="25" xfId="0" applyFont="1" applyFill="1" applyBorder="1" applyAlignment="1">
      <alignment horizontal="center" vertical="center"/>
    </xf>
    <xf numFmtId="44" fontId="32" fillId="0" borderId="24" xfId="38" applyFont="1" applyBorder="1" applyAlignment="1">
      <alignment vertical="center"/>
    </xf>
    <xf numFmtId="44" fontId="25" fillId="11" borderId="0" xfId="0" applyNumberFormat="1" applyFont="1" applyFill="1" applyAlignment="1">
      <alignment vertical="center"/>
    </xf>
    <xf numFmtId="167" fontId="25" fillId="11" borderId="0" xfId="38" applyNumberFormat="1" applyFont="1" applyFill="1" applyAlignment="1">
      <alignment vertical="center"/>
    </xf>
    <xf numFmtId="44" fontId="32" fillId="0" borderId="32" xfId="38" applyFont="1" applyBorder="1" applyAlignment="1">
      <alignment horizontal="right" vertical="center"/>
    </xf>
    <xf numFmtId="44" fontId="25" fillId="0" borderId="33" xfId="0" applyNumberFormat="1" applyFont="1" applyBorder="1" applyAlignment="1">
      <alignment vertical="center"/>
    </xf>
    <xf numFmtId="167" fontId="0" fillId="0" borderId="0" xfId="0" applyNumberFormat="1"/>
    <xf numFmtId="4" fontId="0" fillId="0" borderId="0" xfId="0" applyNumberFormat="1"/>
    <xf numFmtId="43" fontId="25" fillId="11" borderId="0" xfId="40" applyFont="1" applyFill="1" applyAlignment="1">
      <alignment vertical="center"/>
    </xf>
    <xf numFmtId="43" fontId="33" fillId="11" borderId="0" xfId="40" applyFont="1" applyFill="1" applyAlignment="1">
      <alignment vertical="center"/>
    </xf>
    <xf numFmtId="43" fontId="0" fillId="0" borderId="0" xfId="40" applyFont="1"/>
    <xf numFmtId="164" fontId="32" fillId="0" borderId="24" xfId="0" applyNumberFormat="1" applyFont="1" applyBorder="1" applyAlignment="1">
      <alignment horizontal="right" vertical="center"/>
    </xf>
    <xf numFmtId="164" fontId="32" fillId="0" borderId="25" xfId="0" applyNumberFormat="1" applyFont="1" applyBorder="1" applyAlignment="1">
      <alignment horizontal="right" vertical="center"/>
    </xf>
    <xf numFmtId="44" fontId="32" fillId="0" borderId="25" xfId="38" applyFont="1" applyBorder="1" applyAlignment="1">
      <alignment vertical="center"/>
    </xf>
    <xf numFmtId="44" fontId="25" fillId="0" borderId="0" xfId="38" applyFont="1" applyBorder="1"/>
    <xf numFmtId="164" fontId="25" fillId="0" borderId="0" xfId="38" applyNumberFormat="1" applyFont="1"/>
    <xf numFmtId="0" fontId="32" fillId="0" borderId="24" xfId="0" applyFont="1" applyBorder="1" applyAlignment="1">
      <alignment vertical="center"/>
    </xf>
    <xf numFmtId="0" fontId="26" fillId="11" borderId="37" xfId="0" applyFont="1" applyFill="1" applyBorder="1" applyAlignment="1">
      <alignment vertical="center"/>
    </xf>
    <xf numFmtId="164" fontId="26" fillId="11" borderId="38" xfId="0" applyNumberFormat="1" applyFont="1" applyFill="1" applyBorder="1" applyAlignment="1">
      <alignment vertical="center"/>
    </xf>
    <xf numFmtId="164" fontId="26" fillId="11" borderId="39" xfId="0" applyNumberFormat="1" applyFont="1" applyFill="1" applyBorder="1" applyAlignment="1">
      <alignment vertical="center"/>
    </xf>
    <xf numFmtId="164" fontId="25" fillId="0" borderId="30" xfId="0" applyNumberFormat="1" applyFont="1" applyBorder="1" applyAlignment="1">
      <alignment horizontal="right" vertical="center"/>
    </xf>
    <xf numFmtId="164" fontId="32" fillId="0" borderId="30" xfId="0" applyNumberFormat="1" applyFont="1" applyBorder="1" applyAlignment="1">
      <alignment horizontal="right" vertical="center"/>
    </xf>
    <xf numFmtId="164" fontId="32" fillId="0" borderId="31" xfId="0" applyNumberFormat="1" applyFont="1" applyBorder="1" applyAlignment="1">
      <alignment horizontal="right" vertical="center"/>
    </xf>
    <xf numFmtId="164" fontId="25" fillId="0" borderId="40" xfId="0" applyNumberFormat="1" applyFont="1" applyBorder="1" applyAlignment="1">
      <alignment horizontal="right" vertical="center"/>
    </xf>
    <xf numFmtId="164" fontId="25" fillId="0" borderId="20" xfId="0" applyNumberFormat="1" applyFont="1" applyBorder="1" applyAlignment="1">
      <alignment horizontal="right" vertical="center"/>
    </xf>
    <xf numFmtId="164" fontId="27" fillId="14" borderId="23" xfId="0" applyNumberFormat="1" applyFont="1" applyFill="1" applyBorder="1" applyAlignment="1">
      <alignment horizontal="right" vertical="center"/>
    </xf>
    <xf numFmtId="164" fontId="32" fillId="0" borderId="32" xfId="0" applyNumberFormat="1" applyFont="1" applyBorder="1" applyAlignment="1">
      <alignment horizontal="right" vertical="center"/>
    </xf>
    <xf numFmtId="43" fontId="0" fillId="0" borderId="0" xfId="0" applyNumberFormat="1"/>
    <xf numFmtId="164" fontId="32" fillId="0" borderId="33" xfId="0" applyNumberFormat="1" applyFont="1" applyBorder="1" applyAlignment="1">
      <alignment horizontal="right" vertical="center"/>
    </xf>
    <xf numFmtId="0" fontId="26" fillId="15" borderId="20" xfId="0" applyFont="1" applyFill="1" applyBorder="1" applyAlignment="1">
      <alignment horizontal="center" vertical="center"/>
    </xf>
    <xf numFmtId="0" fontId="26" fillId="11" borderId="38" xfId="0" applyFont="1" applyFill="1" applyBorder="1" applyAlignment="1">
      <alignment vertical="center"/>
    </xf>
    <xf numFmtId="164" fontId="33" fillId="11" borderId="0" xfId="0" applyNumberFormat="1" applyFont="1" applyFill="1" applyAlignment="1">
      <alignment horizontal="right" vertical="center"/>
    </xf>
    <xf numFmtId="164" fontId="32" fillId="0" borderId="0" xfId="0" applyNumberFormat="1" applyFont="1" applyAlignment="1">
      <alignment vertical="center"/>
    </xf>
    <xf numFmtId="0" fontId="36" fillId="0" borderId="0" xfId="0" applyFont="1"/>
    <xf numFmtId="0" fontId="37" fillId="11" borderId="37" xfId="0" applyFont="1" applyFill="1" applyBorder="1" applyAlignment="1">
      <alignment vertical="center"/>
    </xf>
    <xf numFmtId="0" fontId="37" fillId="11" borderId="38" xfId="0" applyFont="1" applyFill="1" applyBorder="1" applyAlignment="1">
      <alignment vertical="center"/>
    </xf>
    <xf numFmtId="164" fontId="37" fillId="11" borderId="38" xfId="0" applyNumberFormat="1" applyFont="1" applyFill="1" applyBorder="1" applyAlignment="1">
      <alignment vertical="center"/>
    </xf>
    <xf numFmtId="164" fontId="37" fillId="11" borderId="39" xfId="0" applyNumberFormat="1" applyFont="1" applyFill="1" applyBorder="1" applyAlignment="1">
      <alignment vertical="center"/>
    </xf>
    <xf numFmtId="0" fontId="36" fillId="11" borderId="0" xfId="0" applyFont="1" applyFill="1" applyAlignment="1">
      <alignment vertical="center"/>
    </xf>
    <xf numFmtId="164" fontId="36" fillId="11" borderId="0" xfId="0" applyNumberFormat="1" applyFont="1" applyFill="1" applyAlignment="1">
      <alignment vertical="center"/>
    </xf>
    <xf numFmtId="0" fontId="36" fillId="11" borderId="38" xfId="0" applyFont="1" applyFill="1" applyBorder="1" applyAlignment="1">
      <alignment vertical="center"/>
    </xf>
    <xf numFmtId="164" fontId="36" fillId="11" borderId="38" xfId="0" applyNumberFormat="1" applyFont="1" applyFill="1" applyBorder="1" applyAlignment="1">
      <alignment vertical="center"/>
    </xf>
    <xf numFmtId="164" fontId="36" fillId="11" borderId="39" xfId="0" applyNumberFormat="1" applyFont="1" applyFill="1" applyBorder="1" applyAlignment="1">
      <alignment vertical="center"/>
    </xf>
    <xf numFmtId="0" fontId="27" fillId="13" borderId="16" xfId="0" applyFont="1" applyFill="1" applyBorder="1" applyAlignment="1">
      <alignment horizontal="center" vertical="center"/>
    </xf>
    <xf numFmtId="0" fontId="26" fillId="15" borderId="41" xfId="0" applyFont="1" applyFill="1" applyBorder="1" applyAlignment="1">
      <alignment horizontal="center" vertical="center"/>
    </xf>
    <xf numFmtId="0" fontId="27" fillId="13" borderId="42" xfId="0" applyFont="1" applyFill="1" applyBorder="1" applyAlignment="1">
      <alignment horizontal="center" vertical="center"/>
    </xf>
    <xf numFmtId="0" fontId="38" fillId="11" borderId="37" xfId="0" applyFont="1" applyFill="1" applyBorder="1" applyAlignment="1">
      <alignment vertical="center"/>
    </xf>
    <xf numFmtId="0" fontId="27" fillId="13" borderId="0" xfId="0" applyFont="1" applyFill="1" applyAlignment="1">
      <alignment horizontal="center" vertical="center"/>
    </xf>
    <xf numFmtId="0" fontId="38" fillId="11" borderId="38" xfId="0" applyFont="1" applyFill="1" applyBorder="1" applyAlignment="1">
      <alignment vertical="center"/>
    </xf>
    <xf numFmtId="0" fontId="32" fillId="0" borderId="30" xfId="0" applyFont="1" applyBorder="1" applyAlignment="1">
      <alignment vertical="center"/>
    </xf>
    <xf numFmtId="0" fontId="27" fillId="14" borderId="30" xfId="0" applyFont="1" applyFill="1" applyBorder="1" applyAlignment="1">
      <alignment vertical="center"/>
    </xf>
    <xf numFmtId="0" fontId="26" fillId="15" borderId="17" xfId="0" applyFont="1" applyFill="1" applyBorder="1" applyAlignment="1">
      <alignment horizontal="center" vertical="center"/>
    </xf>
    <xf numFmtId="164" fontId="32" fillId="0" borderId="43" xfId="0" applyNumberFormat="1" applyFont="1" applyBorder="1" applyAlignment="1">
      <alignment horizontal="right" vertical="center"/>
    </xf>
    <xf numFmtId="164" fontId="27" fillId="14" borderId="22" xfId="0" applyNumberFormat="1" applyFont="1" applyFill="1" applyBorder="1" applyAlignment="1">
      <alignment horizontal="right" vertical="center"/>
    </xf>
    <xf numFmtId="0" fontId="26" fillId="15" borderId="32" xfId="0" applyFont="1" applyFill="1" applyBorder="1" applyAlignment="1">
      <alignment horizontal="center" vertical="center"/>
    </xf>
    <xf numFmtId="0" fontId="26" fillId="15" borderId="44" xfId="0" applyFont="1" applyFill="1" applyBorder="1" applyAlignment="1">
      <alignment horizontal="center" vertical="center"/>
    </xf>
    <xf numFmtId="164" fontId="27" fillId="0" borderId="0" xfId="0" applyNumberFormat="1" applyFont="1" applyAlignment="1">
      <alignment horizontal="right" vertical="center"/>
    </xf>
    <xf numFmtId="164" fontId="33" fillId="0" borderId="33" xfId="0" applyNumberFormat="1" applyFont="1" applyBorder="1" applyAlignment="1">
      <alignment horizontal="right" vertical="center"/>
    </xf>
    <xf numFmtId="164" fontId="33" fillId="0" borderId="31" xfId="0" applyNumberFormat="1" applyFont="1" applyBorder="1" applyAlignment="1">
      <alignment horizontal="right" vertical="center"/>
    </xf>
    <xf numFmtId="0" fontId="27" fillId="14" borderId="20" xfId="0" applyFont="1" applyFill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6" fillId="15" borderId="15" xfId="0" applyFont="1" applyFill="1" applyBorder="1" applyAlignment="1">
      <alignment horizontal="center" vertical="center"/>
    </xf>
    <xf numFmtId="164" fontId="32" fillId="0" borderId="45" xfId="0" applyNumberFormat="1" applyFont="1" applyBorder="1" applyAlignment="1">
      <alignment horizontal="right" vertical="center"/>
    </xf>
    <xf numFmtId="164" fontId="34" fillId="14" borderId="25" xfId="0" applyNumberFormat="1" applyFont="1" applyFill="1" applyBorder="1" applyAlignment="1">
      <alignment horizontal="right" vertical="center"/>
    </xf>
    <xf numFmtId="164" fontId="35" fillId="13" borderId="28" xfId="0" applyNumberFormat="1" applyFont="1" applyFill="1" applyBorder="1" applyAlignment="1">
      <alignment horizontal="right" vertical="center"/>
    </xf>
    <xf numFmtId="164" fontId="35" fillId="14" borderId="22" xfId="0" applyNumberFormat="1" applyFont="1" applyFill="1" applyBorder="1" applyAlignment="1">
      <alignment horizontal="right" vertical="center"/>
    </xf>
    <xf numFmtId="0" fontId="32" fillId="11" borderId="0" xfId="0" applyFont="1" applyFill="1" applyAlignment="1">
      <alignment vertical="center"/>
    </xf>
    <xf numFmtId="0" fontId="32" fillId="0" borderId="33" xfId="0" applyFont="1" applyBorder="1" applyAlignment="1">
      <alignment vertical="center"/>
    </xf>
    <xf numFmtId="0" fontId="40" fillId="0" borderId="0" xfId="0" applyFont="1"/>
    <xf numFmtId="0" fontId="34" fillId="15" borderId="30" xfId="0" applyFont="1" applyFill="1" applyBorder="1" applyAlignment="1">
      <alignment horizontal="center" vertical="center"/>
    </xf>
    <xf numFmtId="0" fontId="34" fillId="15" borderId="33" xfId="0" applyFont="1" applyFill="1" applyBorder="1" applyAlignment="1">
      <alignment horizontal="center" vertical="center"/>
    </xf>
    <xf numFmtId="164" fontId="32" fillId="11" borderId="0" xfId="0" applyNumberFormat="1" applyFont="1" applyFill="1" applyAlignment="1">
      <alignment horizontal="right" vertical="center"/>
    </xf>
    <xf numFmtId="0" fontId="32" fillId="0" borderId="0" xfId="0" applyFont="1"/>
    <xf numFmtId="167" fontId="40" fillId="0" borderId="0" xfId="0" applyNumberFormat="1" applyFont="1"/>
    <xf numFmtId="0" fontId="32" fillId="0" borderId="0" xfId="0" applyFont="1" applyAlignment="1">
      <alignment vertical="center"/>
    </xf>
    <xf numFmtId="164" fontId="32" fillId="11" borderId="0" xfId="0" applyNumberFormat="1" applyFont="1" applyFill="1" applyAlignment="1">
      <alignment vertical="center"/>
    </xf>
    <xf numFmtId="0" fontId="41" fillId="0" borderId="0" xfId="0" applyFont="1"/>
    <xf numFmtId="164" fontId="38" fillId="11" borderId="38" xfId="0" applyNumberFormat="1" applyFont="1" applyFill="1" applyBorder="1" applyAlignment="1">
      <alignment vertical="center"/>
    </xf>
    <xf numFmtId="164" fontId="38" fillId="11" borderId="39" xfId="0" applyNumberFormat="1" applyFont="1" applyFill="1" applyBorder="1" applyAlignment="1">
      <alignment vertical="center"/>
    </xf>
    <xf numFmtId="0" fontId="41" fillId="11" borderId="0" xfId="0" applyFont="1" applyFill="1" applyAlignment="1">
      <alignment vertical="center"/>
    </xf>
    <xf numFmtId="164" fontId="41" fillId="11" borderId="0" xfId="0" applyNumberFormat="1" applyFont="1" applyFill="1" applyAlignment="1">
      <alignment vertical="center"/>
    </xf>
    <xf numFmtId="0" fontId="41" fillId="11" borderId="38" xfId="0" applyFont="1" applyFill="1" applyBorder="1" applyAlignment="1">
      <alignment vertical="center"/>
    </xf>
    <xf numFmtId="164" fontId="41" fillId="11" borderId="38" xfId="0" applyNumberFormat="1" applyFont="1" applyFill="1" applyBorder="1" applyAlignment="1">
      <alignment vertical="center"/>
    </xf>
    <xf numFmtId="164" fontId="41" fillId="11" borderId="39" xfId="0" applyNumberFormat="1" applyFont="1" applyFill="1" applyBorder="1" applyAlignment="1">
      <alignment vertical="center"/>
    </xf>
    <xf numFmtId="0" fontId="42" fillId="0" borderId="0" xfId="0" applyFont="1"/>
    <xf numFmtId="0" fontId="35" fillId="13" borderId="15" xfId="0" applyFont="1" applyFill="1" applyBorder="1" applyAlignment="1">
      <alignment horizontal="center" vertical="center"/>
    </xf>
    <xf numFmtId="0" fontId="35" fillId="13" borderId="0" xfId="0" applyFont="1" applyFill="1" applyAlignment="1">
      <alignment horizontal="center" vertical="center"/>
    </xf>
    <xf numFmtId="0" fontId="35" fillId="13" borderId="42" xfId="0" applyFont="1" applyFill="1" applyBorder="1" applyAlignment="1">
      <alignment horizontal="center" vertical="center"/>
    </xf>
    <xf numFmtId="0" fontId="35" fillId="13" borderId="16" xfId="0" applyFont="1" applyFill="1" applyBorder="1" applyAlignment="1">
      <alignment horizontal="center" vertical="center"/>
    </xf>
    <xf numFmtId="0" fontId="43" fillId="0" borderId="0" xfId="0" applyFont="1"/>
    <xf numFmtId="0" fontId="27" fillId="13" borderId="23" xfId="37" applyFont="1" applyFill="1" applyBorder="1" applyAlignment="1">
      <alignment horizontal="center" vertical="center"/>
    </xf>
    <xf numFmtId="0" fontId="26" fillId="15" borderId="15" xfId="37" applyFont="1" applyFill="1" applyBorder="1" applyAlignment="1">
      <alignment horizontal="left" vertical="center"/>
    </xf>
    <xf numFmtId="0" fontId="26" fillId="15" borderId="32" xfId="37" applyFont="1" applyFill="1" applyBorder="1" applyAlignment="1">
      <alignment horizontal="center" vertical="center"/>
    </xf>
    <xf numFmtId="0" fontId="26" fillId="15" borderId="17" xfId="37" applyFont="1" applyFill="1" applyBorder="1" applyAlignment="1">
      <alignment horizontal="center" vertical="center"/>
    </xf>
    <xf numFmtId="0" fontId="26" fillId="15" borderId="25" xfId="37" applyFont="1" applyFill="1" applyBorder="1" applyAlignment="1">
      <alignment horizontal="center" vertical="center"/>
    </xf>
    <xf numFmtId="0" fontId="26" fillId="15" borderId="24" xfId="37" applyFont="1" applyFill="1" applyBorder="1" applyAlignment="1">
      <alignment horizontal="center" vertical="center"/>
    </xf>
    <xf numFmtId="0" fontId="25" fillId="0" borderId="32" xfId="37" applyFont="1" applyBorder="1" applyAlignment="1">
      <alignment vertical="center"/>
    </xf>
    <xf numFmtId="164" fontId="32" fillId="0" borderId="43" xfId="37" applyNumberFormat="1" applyFont="1" applyBorder="1" applyAlignment="1">
      <alignment horizontal="right" vertical="center"/>
    </xf>
    <xf numFmtId="164" fontId="32" fillId="0" borderId="32" xfId="37" applyNumberFormat="1" applyFont="1" applyBorder="1" applyAlignment="1">
      <alignment horizontal="right" vertical="center"/>
    </xf>
    <xf numFmtId="164" fontId="25" fillId="0" borderId="32" xfId="37" applyNumberFormat="1" applyFont="1" applyBorder="1" applyAlignment="1">
      <alignment horizontal="right" vertical="center"/>
    </xf>
    <xf numFmtId="164" fontId="25" fillId="0" borderId="40" xfId="37" applyNumberFormat="1" applyFont="1" applyBorder="1" applyAlignment="1">
      <alignment horizontal="right" vertical="center"/>
    </xf>
    <xf numFmtId="164" fontId="25" fillId="0" borderId="20" xfId="37" applyNumberFormat="1" applyFont="1" applyBorder="1" applyAlignment="1">
      <alignment horizontal="right" vertical="center"/>
    </xf>
    <xf numFmtId="164" fontId="25" fillId="0" borderId="30" xfId="37" applyNumberFormat="1" applyFont="1" applyBorder="1" applyAlignment="1">
      <alignment horizontal="right" vertical="center"/>
    </xf>
    <xf numFmtId="164" fontId="32" fillId="0" borderId="30" xfId="37" applyNumberFormat="1" applyFont="1" applyBorder="1" applyAlignment="1">
      <alignment horizontal="right" vertical="center"/>
    </xf>
    <xf numFmtId="0" fontId="25" fillId="0" borderId="18" xfId="37" applyFont="1" applyBorder="1" applyAlignment="1">
      <alignment vertical="center"/>
    </xf>
    <xf numFmtId="0" fontId="27" fillId="14" borderId="20" xfId="37" applyFont="1" applyFill="1" applyBorder="1" applyAlignment="1">
      <alignment vertical="center"/>
    </xf>
    <xf numFmtId="164" fontId="27" fillId="14" borderId="22" xfId="37" applyNumberFormat="1" applyFont="1" applyFill="1" applyBorder="1" applyAlignment="1">
      <alignment horizontal="right" vertical="center"/>
    </xf>
    <xf numFmtId="164" fontId="35" fillId="14" borderId="22" xfId="37" applyNumberFormat="1" applyFont="1" applyFill="1" applyBorder="1" applyAlignment="1">
      <alignment horizontal="right" vertical="center"/>
    </xf>
    <xf numFmtId="164" fontId="27" fillId="14" borderId="23" xfId="37" applyNumberFormat="1" applyFont="1" applyFill="1" applyBorder="1" applyAlignment="1">
      <alignment horizontal="right" vertical="center"/>
    </xf>
    <xf numFmtId="164" fontId="27" fillId="14" borderId="24" xfId="37" applyNumberFormat="1" applyFont="1" applyFill="1" applyBorder="1" applyAlignment="1">
      <alignment horizontal="right" vertical="center"/>
    </xf>
    <xf numFmtId="0" fontId="25" fillId="11" borderId="0" xfId="37" applyFont="1" applyFill="1" applyAlignment="1">
      <alignment vertical="center"/>
    </xf>
    <xf numFmtId="167" fontId="25" fillId="11" borderId="0" xfId="37" applyNumberFormat="1" applyFont="1" applyFill="1" applyAlignment="1">
      <alignment vertical="center"/>
    </xf>
    <xf numFmtId="164" fontId="25" fillId="11" borderId="0" xfId="37" applyNumberFormat="1" applyFont="1" applyFill="1" applyAlignment="1">
      <alignment vertical="center"/>
    </xf>
    <xf numFmtId="0" fontId="26" fillId="15" borderId="24" xfId="37" applyFont="1" applyFill="1" applyBorder="1" applyAlignment="1">
      <alignment horizontal="left" vertical="center"/>
    </xf>
    <xf numFmtId="0" fontId="25" fillId="0" borderId="24" xfId="37" applyFont="1" applyBorder="1" applyAlignment="1">
      <alignment vertical="center"/>
    </xf>
    <xf numFmtId="164" fontId="32" fillId="0" borderId="24" xfId="37" applyNumberFormat="1" applyFont="1" applyBorder="1" applyAlignment="1">
      <alignment horizontal="right" vertical="center"/>
    </xf>
    <xf numFmtId="164" fontId="25" fillId="0" borderId="24" xfId="37" applyNumberFormat="1" applyFont="1" applyBorder="1" applyAlignment="1">
      <alignment horizontal="right" vertical="center"/>
    </xf>
    <xf numFmtId="164" fontId="32" fillId="0" borderId="25" xfId="37" applyNumberFormat="1" applyFont="1" applyBorder="1" applyAlignment="1">
      <alignment horizontal="right" vertical="center"/>
    </xf>
    <xf numFmtId="164" fontId="25" fillId="0" borderId="25" xfId="37" applyNumberFormat="1" applyFont="1" applyBorder="1" applyAlignment="1">
      <alignment horizontal="right" vertical="center"/>
    </xf>
    <xf numFmtId="0" fontId="27" fillId="14" borderId="25" xfId="37" applyFont="1" applyFill="1" applyBorder="1" applyAlignment="1">
      <alignment vertical="center"/>
    </xf>
    <xf numFmtId="164" fontId="34" fillId="14" borderId="25" xfId="37" applyNumberFormat="1" applyFont="1" applyFill="1" applyBorder="1" applyAlignment="1">
      <alignment horizontal="right" vertical="center"/>
    </xf>
    <xf numFmtId="164" fontId="27" fillId="14" borderId="25" xfId="37" applyNumberFormat="1" applyFont="1" applyFill="1" applyBorder="1" applyAlignment="1">
      <alignment horizontal="right" vertical="center"/>
    </xf>
    <xf numFmtId="0" fontId="27" fillId="13" borderId="27" xfId="37" applyFont="1" applyFill="1" applyBorder="1" applyAlignment="1">
      <alignment horizontal="center" vertical="center"/>
    </xf>
    <xf numFmtId="164" fontId="35" fillId="13" borderId="28" xfId="37" applyNumberFormat="1" applyFont="1" applyFill="1" applyBorder="1" applyAlignment="1">
      <alignment horizontal="right" vertical="center"/>
    </xf>
    <xf numFmtId="164" fontId="27" fillId="13" borderId="28" xfId="37" applyNumberFormat="1" applyFont="1" applyFill="1" applyBorder="1" applyAlignment="1">
      <alignment horizontal="right" vertical="center"/>
    </xf>
    <xf numFmtId="0" fontId="26" fillId="15" borderId="44" xfId="37" applyFont="1" applyFill="1" applyBorder="1" applyAlignment="1">
      <alignment horizontal="center" vertical="center"/>
    </xf>
    <xf numFmtId="0" fontId="26" fillId="15" borderId="41" xfId="37" applyFont="1" applyFill="1" applyBorder="1" applyAlignment="1">
      <alignment horizontal="center" vertical="center"/>
    </xf>
    <xf numFmtId="0" fontId="26" fillId="15" borderId="33" xfId="37" applyFont="1" applyFill="1" applyBorder="1" applyAlignment="1">
      <alignment horizontal="center" vertical="center"/>
    </xf>
    <xf numFmtId="0" fontId="25" fillId="0" borderId="30" xfId="37" applyFont="1" applyBorder="1" applyAlignment="1">
      <alignment vertical="center"/>
    </xf>
    <xf numFmtId="0" fontId="25" fillId="0" borderId="33" xfId="37" applyFont="1" applyBorder="1" applyAlignment="1">
      <alignment vertical="center"/>
    </xf>
    <xf numFmtId="0" fontId="32" fillId="0" borderId="30" xfId="37" applyFont="1" applyBorder="1" applyAlignment="1">
      <alignment vertical="center"/>
    </xf>
    <xf numFmtId="0" fontId="32" fillId="0" borderId="33" xfId="37" applyFont="1" applyBorder="1" applyAlignment="1">
      <alignment vertical="center"/>
    </xf>
    <xf numFmtId="0" fontId="34" fillId="15" borderId="30" xfId="37" applyFont="1" applyFill="1" applyBorder="1" applyAlignment="1">
      <alignment horizontal="center" vertical="center"/>
    </xf>
    <xf numFmtId="0" fontId="34" fillId="15" borderId="33" xfId="37" applyFont="1" applyFill="1" applyBorder="1" applyAlignment="1">
      <alignment horizontal="center" vertical="center"/>
    </xf>
    <xf numFmtId="0" fontId="32" fillId="11" borderId="0" xfId="37" applyFont="1" applyFill="1" applyAlignment="1">
      <alignment vertical="center"/>
    </xf>
    <xf numFmtId="164" fontId="32" fillId="11" borderId="0" xfId="37" applyNumberFormat="1" applyFont="1" applyFill="1" applyAlignment="1">
      <alignment horizontal="right" vertical="center"/>
    </xf>
    <xf numFmtId="164" fontId="32" fillId="0" borderId="33" xfId="37" applyNumberFormat="1" applyFont="1" applyBorder="1" applyAlignment="1">
      <alignment horizontal="right" vertical="center"/>
    </xf>
    <xf numFmtId="164" fontId="33" fillId="0" borderId="33" xfId="37" applyNumberFormat="1" applyFont="1" applyBorder="1" applyAlignment="1">
      <alignment horizontal="right" vertical="center"/>
    </xf>
    <xf numFmtId="164" fontId="32" fillId="0" borderId="45" xfId="37" applyNumberFormat="1" applyFont="1" applyBorder="1" applyAlignment="1">
      <alignment horizontal="right" vertical="center"/>
    </xf>
    <xf numFmtId="164" fontId="32" fillId="0" borderId="31" xfId="37" applyNumberFormat="1" applyFont="1" applyBorder="1" applyAlignment="1">
      <alignment horizontal="right" vertical="center"/>
    </xf>
    <xf numFmtId="0" fontId="34" fillId="15" borderId="30" xfId="37" applyFont="1" applyFill="1" applyBorder="1" applyAlignment="1">
      <alignment horizontal="left" vertical="center"/>
    </xf>
    <xf numFmtId="0" fontId="32" fillId="0" borderId="0" xfId="37" applyFont="1" applyAlignment="1">
      <alignment vertical="center"/>
    </xf>
    <xf numFmtId="164" fontId="32" fillId="0" borderId="0" xfId="37" applyNumberFormat="1" applyFont="1" applyAlignment="1">
      <alignment vertical="center"/>
    </xf>
    <xf numFmtId="0" fontId="35" fillId="13" borderId="15" xfId="37" applyFont="1" applyFill="1" applyBorder="1" applyAlignment="1">
      <alignment horizontal="center" vertical="center"/>
    </xf>
    <xf numFmtId="0" fontId="35" fillId="13" borderId="0" xfId="37" applyFont="1" applyFill="1" applyAlignment="1">
      <alignment horizontal="center" vertical="center"/>
    </xf>
    <xf numFmtId="0" fontId="35" fillId="13" borderId="42" xfId="37" applyFont="1" applyFill="1" applyBorder="1" applyAlignment="1">
      <alignment horizontal="center" vertical="center"/>
    </xf>
    <xf numFmtId="0" fontId="35" fillId="13" borderId="16" xfId="37" applyFont="1" applyFill="1" applyBorder="1" applyAlignment="1">
      <alignment horizontal="center" vertical="center"/>
    </xf>
    <xf numFmtId="0" fontId="27" fillId="13" borderId="23" xfId="37" applyFont="1" applyFill="1" applyBorder="1" applyAlignment="1">
      <alignment horizontal="left" vertical="center"/>
    </xf>
    <xf numFmtId="0" fontId="26" fillId="15" borderId="20" xfId="37" applyFont="1" applyFill="1" applyBorder="1" applyAlignment="1">
      <alignment horizontal="left" vertical="center"/>
    </xf>
    <xf numFmtId="0" fontId="0" fillId="11" borderId="0" xfId="0" applyFill="1" applyAlignment="1">
      <alignment horizontal="center"/>
    </xf>
    <xf numFmtId="0" fontId="20" fillId="13" borderId="23" xfId="0" applyFont="1" applyFill="1" applyBorder="1" applyAlignment="1">
      <alignment horizontal="center" vertical="center"/>
    </xf>
    <xf numFmtId="0" fontId="20" fillId="14" borderId="24" xfId="0" applyFont="1" applyFill="1" applyBorder="1" applyAlignment="1">
      <alignment horizontal="center" vertical="center"/>
    </xf>
    <xf numFmtId="49" fontId="20" fillId="14" borderId="24" xfId="0" applyNumberFormat="1" applyFont="1" applyFill="1" applyBorder="1" applyAlignment="1">
      <alignment horizontal="center" vertical="center"/>
    </xf>
    <xf numFmtId="164" fontId="20" fillId="14" borderId="24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/>
    </xf>
    <xf numFmtId="0" fontId="7" fillId="13" borderId="23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164" fontId="23" fillId="0" borderId="24" xfId="0" applyNumberFormat="1" applyFont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left" vertical="center"/>
    </xf>
    <xf numFmtId="0" fontId="27" fillId="13" borderId="23" xfId="0" applyFont="1" applyFill="1" applyBorder="1" applyAlignment="1">
      <alignment horizontal="center" vertical="center"/>
    </xf>
    <xf numFmtId="0" fontId="27" fillId="14" borderId="24" xfId="0" applyFont="1" applyFill="1" applyBorder="1" applyAlignment="1">
      <alignment horizontal="center" vertical="center"/>
    </xf>
    <xf numFmtId="49" fontId="27" fillId="14" borderId="24" xfId="0" applyNumberFormat="1" applyFont="1" applyFill="1" applyBorder="1" applyAlignment="1">
      <alignment horizontal="center" vertical="center"/>
    </xf>
    <xf numFmtId="164" fontId="25" fillId="0" borderId="30" xfId="0" applyNumberFormat="1" applyFont="1" applyBorder="1" applyAlignment="1">
      <alignment horizontal="right" vertical="center"/>
    </xf>
    <xf numFmtId="164" fontId="25" fillId="0" borderId="31" xfId="0" applyNumberFormat="1" applyFont="1" applyBorder="1" applyAlignment="1">
      <alignment horizontal="right" vertical="center"/>
    </xf>
    <xf numFmtId="164" fontId="26" fillId="15" borderId="30" xfId="0" applyNumberFormat="1" applyFont="1" applyFill="1" applyBorder="1" applyAlignment="1">
      <alignment horizontal="right" vertical="center"/>
    </xf>
    <xf numFmtId="164" fontId="26" fillId="15" borderId="31" xfId="0" applyNumberFormat="1" applyFont="1" applyFill="1" applyBorder="1" applyAlignment="1">
      <alignment horizontal="right" vertical="center"/>
    </xf>
    <xf numFmtId="164" fontId="27" fillId="13" borderId="30" xfId="0" applyNumberFormat="1" applyFont="1" applyFill="1" applyBorder="1" applyAlignment="1">
      <alignment horizontal="center" vertical="center"/>
    </xf>
    <xf numFmtId="164" fontId="27" fillId="13" borderId="31" xfId="0" applyNumberFormat="1" applyFont="1" applyFill="1" applyBorder="1" applyAlignment="1">
      <alignment horizontal="center" vertical="center"/>
    </xf>
    <xf numFmtId="0" fontId="27" fillId="14" borderId="15" xfId="0" applyFont="1" applyFill="1" applyBorder="1" applyAlignment="1">
      <alignment horizontal="center" vertical="center"/>
    </xf>
    <xf numFmtId="0" fontId="27" fillId="14" borderId="16" xfId="0" applyFont="1" applyFill="1" applyBorder="1" applyAlignment="1">
      <alignment horizontal="center" vertical="center"/>
    </xf>
    <xf numFmtId="0" fontId="27" fillId="14" borderId="20" xfId="0" applyFont="1" applyFill="1" applyBorder="1" applyAlignment="1">
      <alignment horizontal="center" vertical="center"/>
    </xf>
    <xf numFmtId="0" fontId="27" fillId="14" borderId="21" xfId="0" applyFont="1" applyFill="1" applyBorder="1" applyAlignment="1">
      <alignment horizontal="center" vertical="center"/>
    </xf>
    <xf numFmtId="0" fontId="27" fillId="14" borderId="18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27" fillId="13" borderId="18" xfId="0" applyFont="1" applyFill="1" applyBorder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164" fontId="26" fillId="15" borderId="30" xfId="0" applyNumberFormat="1" applyFont="1" applyFill="1" applyBorder="1" applyAlignment="1">
      <alignment horizontal="center" vertical="center"/>
    </xf>
    <xf numFmtId="164" fontId="26" fillId="15" borderId="31" xfId="0" applyNumberFormat="1" applyFont="1" applyFill="1" applyBorder="1" applyAlignment="1">
      <alignment horizontal="center" vertical="center"/>
    </xf>
    <xf numFmtId="164" fontId="26" fillId="15" borderId="20" xfId="0" applyNumberFormat="1" applyFont="1" applyFill="1" applyBorder="1" applyAlignment="1">
      <alignment horizontal="center" vertical="center"/>
    </xf>
    <xf numFmtId="164" fontId="26" fillId="15" borderId="22" xfId="0" applyNumberFormat="1" applyFont="1" applyFill="1" applyBorder="1" applyAlignment="1">
      <alignment horizontal="center" vertical="center"/>
    </xf>
    <xf numFmtId="0" fontId="27" fillId="13" borderId="20" xfId="0" applyFont="1" applyFill="1" applyBorder="1" applyAlignment="1">
      <alignment horizontal="center" vertical="center"/>
    </xf>
    <xf numFmtId="0" fontId="27" fillId="13" borderId="21" xfId="0" applyFont="1" applyFill="1" applyBorder="1" applyAlignment="1">
      <alignment horizontal="center" vertical="center"/>
    </xf>
    <xf numFmtId="0" fontId="27" fillId="13" borderId="22" xfId="0" applyFont="1" applyFill="1" applyBorder="1" applyAlignment="1">
      <alignment horizontal="center" vertical="center"/>
    </xf>
    <xf numFmtId="0" fontId="27" fillId="14" borderId="17" xfId="0" applyFont="1" applyFill="1" applyBorder="1" applyAlignment="1">
      <alignment horizontal="center" vertical="center"/>
    </xf>
    <xf numFmtId="0" fontId="27" fillId="14" borderId="2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readingOrder="1"/>
    </xf>
    <xf numFmtId="164" fontId="27" fillId="13" borderId="15" xfId="0" applyNumberFormat="1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164" fontId="32" fillId="0" borderId="30" xfId="0" applyNumberFormat="1" applyFont="1" applyBorder="1" applyAlignment="1">
      <alignment horizontal="right" vertical="center"/>
    </xf>
    <xf numFmtId="164" fontId="32" fillId="0" borderId="31" xfId="0" applyNumberFormat="1" applyFont="1" applyBorder="1" applyAlignment="1">
      <alignment horizontal="right" vertical="center"/>
    </xf>
    <xf numFmtId="164" fontId="34" fillId="15" borderId="30" xfId="0" applyNumberFormat="1" applyFont="1" applyFill="1" applyBorder="1" applyAlignment="1">
      <alignment horizontal="right" vertical="center"/>
    </xf>
    <xf numFmtId="164" fontId="34" fillId="15" borderId="31" xfId="0" applyNumberFormat="1" applyFont="1" applyFill="1" applyBorder="1" applyAlignment="1">
      <alignment horizontal="right" vertical="center"/>
    </xf>
    <xf numFmtId="164" fontId="32" fillId="0" borderId="33" xfId="0" applyNumberFormat="1" applyFont="1" applyBorder="1" applyAlignment="1">
      <alignment horizontal="right" vertical="center"/>
    </xf>
    <xf numFmtId="164" fontId="34" fillId="15" borderId="33" xfId="0" applyNumberFormat="1" applyFont="1" applyFill="1" applyBorder="1" applyAlignment="1">
      <alignment horizontal="right" vertical="center"/>
    </xf>
    <xf numFmtId="164" fontId="35" fillId="13" borderId="15" xfId="0" applyNumberFormat="1" applyFont="1" applyFill="1" applyBorder="1" applyAlignment="1">
      <alignment horizontal="center" vertical="center"/>
    </xf>
    <xf numFmtId="164" fontId="35" fillId="13" borderId="17" xfId="0" applyNumberFormat="1" applyFont="1" applyFill="1" applyBorder="1" applyAlignment="1">
      <alignment horizontal="center" vertical="center"/>
    </xf>
    <xf numFmtId="164" fontId="26" fillId="15" borderId="33" xfId="0" applyNumberFormat="1" applyFont="1" applyFill="1" applyBorder="1" applyAlignment="1">
      <alignment horizontal="center" vertical="center"/>
    </xf>
    <xf numFmtId="164" fontId="33" fillId="0" borderId="33" xfId="0" applyNumberFormat="1" applyFont="1" applyBorder="1" applyAlignment="1">
      <alignment horizontal="right" vertical="center"/>
    </xf>
    <xf numFmtId="164" fontId="33" fillId="0" borderId="31" xfId="0" applyNumberFormat="1" applyFont="1" applyBorder="1" applyAlignment="1">
      <alignment horizontal="right" vertical="center"/>
    </xf>
    <xf numFmtId="164" fontId="39" fillId="15" borderId="33" xfId="0" applyNumberFormat="1" applyFont="1" applyFill="1" applyBorder="1" applyAlignment="1">
      <alignment horizontal="right" vertical="center"/>
    </xf>
    <xf numFmtId="164" fontId="39" fillId="15" borderId="31" xfId="0" applyNumberFormat="1" applyFont="1" applyFill="1" applyBorder="1" applyAlignment="1">
      <alignment horizontal="right" vertical="center"/>
    </xf>
    <xf numFmtId="164" fontId="34" fillId="15" borderId="33" xfId="0" applyNumberFormat="1" applyFont="1" applyFill="1" applyBorder="1" applyAlignment="1">
      <alignment horizontal="center" vertical="center"/>
    </xf>
    <xf numFmtId="164" fontId="34" fillId="15" borderId="31" xfId="0" applyNumberFormat="1" applyFont="1" applyFill="1" applyBorder="1" applyAlignment="1">
      <alignment horizontal="center" vertical="center"/>
    </xf>
    <xf numFmtId="164" fontId="32" fillId="0" borderId="33" xfId="37" applyNumberFormat="1" applyFont="1" applyBorder="1" applyAlignment="1">
      <alignment horizontal="right" vertical="center"/>
    </xf>
    <xf numFmtId="164" fontId="32" fillId="0" borderId="31" xfId="37" applyNumberFormat="1" applyFont="1" applyBorder="1" applyAlignment="1">
      <alignment horizontal="right" vertical="center"/>
    </xf>
    <xf numFmtId="0" fontId="27" fillId="14" borderId="15" xfId="37" applyFont="1" applyFill="1" applyBorder="1" applyAlignment="1">
      <alignment horizontal="center" vertical="center"/>
    </xf>
    <xf numFmtId="0" fontId="27" fillId="14" borderId="16" xfId="37" applyFont="1" applyFill="1" applyBorder="1" applyAlignment="1">
      <alignment horizontal="center" vertical="center"/>
    </xf>
    <xf numFmtId="0" fontId="27" fillId="14" borderId="20" xfId="37" applyFont="1" applyFill="1" applyBorder="1" applyAlignment="1">
      <alignment horizontal="center" vertical="center"/>
    </xf>
    <xf numFmtId="0" fontId="27" fillId="14" borderId="0" xfId="37" applyFont="1" applyFill="1" applyAlignment="1">
      <alignment horizontal="center" vertical="center"/>
    </xf>
    <xf numFmtId="0" fontId="27" fillId="14" borderId="21" xfId="37" applyFont="1" applyFill="1" applyBorder="1" applyAlignment="1">
      <alignment horizontal="center" vertical="center"/>
    </xf>
    <xf numFmtId="0" fontId="27" fillId="13" borderId="18" xfId="37" applyFont="1" applyFill="1" applyBorder="1" applyAlignment="1">
      <alignment horizontal="center" vertical="center"/>
    </xf>
    <xf numFmtId="0" fontId="27" fillId="13" borderId="0" xfId="37" applyFont="1" applyFill="1" applyAlignment="1">
      <alignment horizontal="center" vertical="center"/>
    </xf>
    <xf numFmtId="164" fontId="34" fillId="15" borderId="33" xfId="37" applyNumberFormat="1" applyFont="1" applyFill="1" applyBorder="1" applyAlignment="1">
      <alignment horizontal="center" vertical="center"/>
    </xf>
    <xf numFmtId="164" fontId="34" fillId="15" borderId="31" xfId="37" applyNumberFormat="1" applyFont="1" applyFill="1" applyBorder="1" applyAlignment="1">
      <alignment horizontal="center" vertical="center"/>
    </xf>
    <xf numFmtId="164" fontId="34" fillId="15" borderId="33" xfId="37" applyNumberFormat="1" applyFont="1" applyFill="1" applyBorder="1" applyAlignment="1">
      <alignment horizontal="right" vertical="center"/>
    </xf>
    <xf numFmtId="164" fontId="34" fillId="15" borderId="31" xfId="37" applyNumberFormat="1" applyFont="1" applyFill="1" applyBorder="1" applyAlignment="1">
      <alignment horizontal="right" vertical="center"/>
    </xf>
    <xf numFmtId="164" fontId="35" fillId="13" borderId="15" xfId="37" applyNumberFormat="1" applyFont="1" applyFill="1" applyBorder="1" applyAlignment="1">
      <alignment horizontal="right" vertical="center"/>
    </xf>
    <xf numFmtId="164" fontId="35" fillId="13" borderId="17" xfId="37" applyNumberFormat="1" applyFont="1" applyFill="1" applyBorder="1" applyAlignment="1">
      <alignment horizontal="right" vertical="center"/>
    </xf>
    <xf numFmtId="0" fontId="40" fillId="0" borderId="39" xfId="0" applyFont="1" applyBorder="1"/>
  </cellXfs>
  <cellStyles count="4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ckground" xfId="5" xr:uid="{00000000-0005-0000-0000-000004000000}"/>
    <cellStyle name="Bad" xfId="6" xr:uid="{00000000-0005-0000-0000-000005000000}"/>
    <cellStyle name="Card" xfId="7" xr:uid="{00000000-0005-0000-0000-000006000000}"/>
    <cellStyle name="Card B" xfId="8" xr:uid="{00000000-0005-0000-0000-000007000000}"/>
    <cellStyle name="Card BL" xfId="9" xr:uid="{00000000-0005-0000-0000-000008000000}"/>
    <cellStyle name="Card BR" xfId="10" xr:uid="{00000000-0005-0000-0000-000009000000}"/>
    <cellStyle name="Card L" xfId="11" xr:uid="{00000000-0005-0000-0000-00000A000000}"/>
    <cellStyle name="Card R" xfId="12" xr:uid="{00000000-0005-0000-0000-00000B000000}"/>
    <cellStyle name="Card T" xfId="13" xr:uid="{00000000-0005-0000-0000-00000C000000}"/>
    <cellStyle name="Card TL" xfId="14" xr:uid="{00000000-0005-0000-0000-00000D000000}"/>
    <cellStyle name="Card TR" xfId="15" xr:uid="{00000000-0005-0000-0000-00000E000000}"/>
    <cellStyle name="Column Header" xfId="16" xr:uid="{00000000-0005-0000-0000-00000F000000}"/>
    <cellStyle name="ConditionalStyle_1" xfId="35" xr:uid="{00000000-0005-0000-0000-000010000000}"/>
    <cellStyle name="Error" xfId="17" xr:uid="{00000000-0005-0000-0000-000011000000}"/>
    <cellStyle name="Footnote" xfId="18" xr:uid="{00000000-0005-0000-0000-000012000000}"/>
    <cellStyle name="Good" xfId="19" xr:uid="{00000000-0005-0000-0000-000013000000}"/>
    <cellStyle name="Heading" xfId="20" xr:uid="{00000000-0005-0000-0000-000014000000}"/>
    <cellStyle name="Heading (user)" xfId="21" xr:uid="{00000000-0005-0000-0000-000015000000}"/>
    <cellStyle name="Heading 1" xfId="22" xr:uid="{00000000-0005-0000-0000-000016000000}"/>
    <cellStyle name="Heading 2" xfId="23" xr:uid="{00000000-0005-0000-0000-000017000000}"/>
    <cellStyle name="Heading1" xfId="24" xr:uid="{00000000-0005-0000-0000-000018000000}"/>
    <cellStyle name="Hyperlink" xfId="25" xr:uid="{00000000-0005-0000-0000-000019000000}"/>
    <cellStyle name="Input" xfId="26" xr:uid="{00000000-0005-0000-0000-00001A000000}"/>
    <cellStyle name="Moeda" xfId="38" builtinId="4"/>
    <cellStyle name="Moeda 2" xfId="36" xr:uid="{00000000-0005-0000-0000-00001C000000}"/>
    <cellStyle name="Neutral" xfId="27" xr:uid="{00000000-0005-0000-0000-00001E000000}"/>
    <cellStyle name="Neutro" xfId="39" builtinId="28"/>
    <cellStyle name="Normal" xfId="0" builtinId="0" customBuiltin="1"/>
    <cellStyle name="Normal 2" xfId="37" xr:uid="{00000000-0005-0000-0000-000020000000}"/>
    <cellStyle name="Note" xfId="28" xr:uid="{00000000-0005-0000-0000-000021000000}"/>
    <cellStyle name="Result" xfId="29" xr:uid="{00000000-0005-0000-0000-000022000000}"/>
    <cellStyle name="Result (user)" xfId="30" xr:uid="{00000000-0005-0000-0000-000023000000}"/>
    <cellStyle name="Result2" xfId="31" xr:uid="{00000000-0005-0000-0000-000024000000}"/>
    <cellStyle name="Status" xfId="32" xr:uid="{00000000-0005-0000-0000-000026000000}"/>
    <cellStyle name="Text" xfId="33" xr:uid="{00000000-0005-0000-0000-000027000000}"/>
    <cellStyle name="Vírgula" xfId="40" builtinId="3"/>
    <cellStyle name="Warning" xfId="34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1486800</xdr:colOff>
      <xdr:row>0</xdr:row>
      <xdr:rowOff>95760</xdr:rowOff>
    </xdr:from>
    <xdr:ext cx="5779440" cy="748439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15450" y="95760"/>
          <a:ext cx="5779440" cy="74843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541534" y="1453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7116691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541533" y="145335"/>
          <a:ext cx="7116691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1170059</xdr:colOff>
      <xdr:row>1</xdr:row>
      <xdr:rowOff>31035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2208284" y="231060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1712984</xdr:colOff>
      <xdr:row>1</xdr:row>
      <xdr:rowOff>59610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884434" y="2596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1712984</xdr:colOff>
      <xdr:row>1</xdr:row>
      <xdr:rowOff>59610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1884434" y="2596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1712984</xdr:colOff>
      <xdr:row>1</xdr:row>
      <xdr:rowOff>59610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1884434" y="2596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4199009</xdr:colOff>
      <xdr:row>1</xdr:row>
      <xdr:rowOff>31035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15E1F841-84EF-4E4D-BA0D-FC6A9A942220}"/>
            </a:ext>
          </a:extLst>
        </xdr:cNvPr>
        <xdr:cNvSpPr/>
      </xdr:nvSpPr>
      <xdr:spPr>
        <a:xfrm>
          <a:off x="4370459" y="231060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3800475</xdr:colOff>
      <xdr:row>0</xdr:row>
      <xdr:rowOff>9525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C484708D-91FF-41FC-B84F-19A8A8840F1D}"/>
            </a:ext>
          </a:extLst>
        </xdr:cNvPr>
        <xdr:cNvSpPr/>
      </xdr:nvSpPr>
      <xdr:spPr>
        <a:xfrm>
          <a:off x="3800475" y="952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703334</xdr:colOff>
      <xdr:row>0</xdr:row>
      <xdr:rowOff>107235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98584" y="1072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436634</xdr:colOff>
      <xdr:row>0</xdr:row>
      <xdr:rowOff>173910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560584" y="17391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IPM%20x%20SMI%20Jan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ARRECADA&#195;&#135;&#195;&#131;O%20IPREVE%20x%20MUNIC&#195;&#141;P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EIRO 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0"/>
  <sheetViews>
    <sheetView topLeftCell="A19" workbookViewId="0">
      <selection activeCell="C44" sqref="C44"/>
    </sheetView>
  </sheetViews>
  <sheetFormatPr defaultRowHeight="15.75" customHeight="1"/>
  <cols>
    <col min="1" max="1" width="9.42578125" customWidth="1"/>
    <col min="2" max="2" width="77.42578125" customWidth="1"/>
    <col min="3" max="4" width="18.7109375" style="41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2"/>
      <c r="C1" s="13"/>
      <c r="D1" s="14"/>
    </row>
    <row r="2" spans="1:20" ht="15.75" customHeight="1">
      <c r="A2" s="1"/>
      <c r="B2" s="3"/>
      <c r="C2" s="15"/>
      <c r="D2" s="16"/>
    </row>
    <row r="3" spans="1:20" ht="15.75" customHeight="1">
      <c r="A3" s="1"/>
      <c r="B3" s="3"/>
      <c r="C3" s="15"/>
      <c r="D3" s="16"/>
    </row>
    <row r="4" spans="1:20" ht="15.75" customHeight="1">
      <c r="A4" s="1"/>
      <c r="B4" s="3"/>
      <c r="C4" s="15"/>
      <c r="D4" s="16"/>
    </row>
    <row r="5" spans="1:20" ht="15.75" customHeight="1">
      <c r="A5" s="1"/>
      <c r="B5" s="4"/>
      <c r="C5" s="17"/>
      <c r="D5" s="18"/>
    </row>
    <row r="6" spans="1:20" s="20" customFormat="1" ht="24.95" customHeight="1">
      <c r="A6" s="19"/>
      <c r="B6" s="328" t="s">
        <v>0</v>
      </c>
      <c r="C6" s="328"/>
      <c r="D6" s="32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329" t="s">
        <v>1</v>
      </c>
      <c r="C7" s="7" t="s">
        <v>31</v>
      </c>
      <c r="D7" s="22" t="s">
        <v>32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329"/>
      <c r="C8" s="22" t="s">
        <v>2</v>
      </c>
      <c r="D8" s="22" t="s">
        <v>2</v>
      </c>
    </row>
    <row r="9" spans="1:20" s="6" customFormat="1" ht="17.100000000000001" customHeight="1">
      <c r="A9" s="5"/>
      <c r="B9" s="8" t="s">
        <v>3</v>
      </c>
      <c r="C9" s="24"/>
      <c r="D9" s="25">
        <f t="shared" ref="D9:D18" si="0">SUM(C9)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8" t="s">
        <v>4</v>
      </c>
      <c r="C10" s="25"/>
      <c r="D10" s="25">
        <f t="shared" si="0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8" t="s">
        <v>33</v>
      </c>
      <c r="C11" s="25"/>
      <c r="D11" s="25">
        <f t="shared" si="0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8" t="s">
        <v>6</v>
      </c>
      <c r="C12" s="25" t="e">
        <f>[1]Report!F59</f>
        <v>#REF!</v>
      </c>
      <c r="D12" s="25" t="e">
        <f t="shared" si="0"/>
        <v>#REF!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8" t="s">
        <v>34</v>
      </c>
      <c r="C13" s="25"/>
      <c r="D13" s="25">
        <f t="shared" si="0"/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8" t="s">
        <v>35</v>
      </c>
      <c r="C14" s="25" t="e">
        <f>'[2]JANEIRO 2021'!J48</f>
        <v>#REF!</v>
      </c>
      <c r="D14" s="25" t="e">
        <f t="shared" si="0"/>
        <v>#REF!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8" t="s">
        <v>36</v>
      </c>
      <c r="C15" s="25" t="e">
        <f>'[2]JANEIRO 2021'!J49</f>
        <v>#REF!</v>
      </c>
      <c r="D15" s="25" t="e">
        <f t="shared" si="0"/>
        <v>#REF!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8" t="s">
        <v>37</v>
      </c>
      <c r="C16" s="25" t="e">
        <f>'[2]JANEIRO 2021'!J50</f>
        <v>#REF!</v>
      </c>
      <c r="D16" s="25" t="e">
        <f t="shared" si="0"/>
        <v>#REF!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8" t="s">
        <v>7</v>
      </c>
      <c r="C17" s="25"/>
      <c r="D17" s="25">
        <f t="shared" si="0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8" t="s">
        <v>8</v>
      </c>
      <c r="C18" s="25"/>
      <c r="D18" s="25">
        <f t="shared" si="0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26" t="s">
        <v>9</v>
      </c>
      <c r="C19" s="27" t="e">
        <f>SUM(C9:C18)</f>
        <v>#REF!</v>
      </c>
      <c r="D19" s="27" t="e">
        <f>SUM(D9:D18)</f>
        <v>#REF!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1"/>
      <c r="C20" s="15"/>
      <c r="D20" s="15"/>
    </row>
    <row r="21" spans="1:20" s="23" customFormat="1" ht="15.75" customHeight="1">
      <c r="A21" s="21"/>
      <c r="B21" s="329" t="s">
        <v>10</v>
      </c>
      <c r="C21" s="330" t="s">
        <v>31</v>
      </c>
      <c r="D21" s="331" t="str">
        <f>D7</f>
        <v>ACUMULADO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329"/>
      <c r="C22" s="330"/>
      <c r="D22" s="331"/>
    </row>
    <row r="23" spans="1:20" s="6" customFormat="1" ht="17.100000000000001" customHeight="1">
      <c r="A23" s="5"/>
      <c r="B23" s="9" t="s">
        <v>11</v>
      </c>
      <c r="C23" s="9" t="s">
        <v>2</v>
      </c>
      <c r="D23" s="9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8" t="s">
        <v>38</v>
      </c>
      <c r="C24" s="25">
        <v>395040.52</v>
      </c>
      <c r="D24" s="28">
        <f>SUM(C24)</f>
        <v>395040.52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8" t="s">
        <v>39</v>
      </c>
      <c r="C25" s="25">
        <v>55681.13</v>
      </c>
      <c r="D25" s="28">
        <f>SUM(C25)</f>
        <v>55681.13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8" t="s">
        <v>40</v>
      </c>
      <c r="C26" s="25">
        <f>27736.74</f>
        <v>27736.74</v>
      </c>
      <c r="D26" s="28">
        <f>SUM(C26)</f>
        <v>27736.74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7.100000000000001" customHeight="1">
      <c r="A27" s="5"/>
      <c r="B27" s="8" t="s">
        <v>13</v>
      </c>
      <c r="C27" s="25"/>
      <c r="D27" s="28">
        <f>SUM(C27)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8" t="s">
        <v>41</v>
      </c>
      <c r="C28" s="29">
        <v>27326.71</v>
      </c>
      <c r="D28" s="28">
        <f>SUM(C28)</f>
        <v>27326.71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30" t="s">
        <v>9</v>
      </c>
      <c r="C29" s="31">
        <f>SUM(C24:C28)</f>
        <v>505785.10000000003</v>
      </c>
      <c r="D29" s="31">
        <f>SUM(D24:D28)</f>
        <v>505785.10000000003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7.100000000000001" customHeight="1">
      <c r="A30" s="1"/>
      <c r="B30" s="10" t="s">
        <v>14</v>
      </c>
      <c r="C30" s="33" t="e">
        <f>C19-C29</f>
        <v>#REF!</v>
      </c>
      <c r="D30" s="34" t="e">
        <f>D19-D29</f>
        <v>#REF!</v>
      </c>
    </row>
    <row r="31" spans="1:20" ht="15.75" customHeight="1">
      <c r="A31" s="1"/>
      <c r="B31" s="1"/>
      <c r="C31" s="15"/>
      <c r="D31" s="15"/>
    </row>
    <row r="32" spans="1:20" s="23" customFormat="1" ht="15.75" customHeight="1">
      <c r="A32" s="21"/>
      <c r="B32" s="35" t="s">
        <v>15</v>
      </c>
      <c r="C32" s="36"/>
      <c r="D32" s="37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329" t="s">
        <v>16</v>
      </c>
      <c r="C33" s="331" t="str">
        <f>C21</f>
        <v>JANEIRO</v>
      </c>
      <c r="D33" s="3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329"/>
      <c r="C34" s="331"/>
      <c r="D34" s="15"/>
    </row>
    <row r="35" spans="1:20" ht="15.75" customHeight="1">
      <c r="A35" s="1"/>
      <c r="B35" s="11" t="s">
        <v>17</v>
      </c>
      <c r="C35" s="38" t="s">
        <v>2</v>
      </c>
      <c r="D35" s="15"/>
    </row>
    <row r="36" spans="1:20" ht="15.75" customHeight="1">
      <c r="A36" s="1"/>
      <c r="B36" s="8" t="s">
        <v>18</v>
      </c>
      <c r="C36" s="25">
        <v>0</v>
      </c>
      <c r="D36" s="15"/>
    </row>
    <row r="37" spans="1:20" ht="15.75" customHeight="1">
      <c r="A37" s="1"/>
      <c r="B37" s="8" t="s">
        <v>19</v>
      </c>
      <c r="C37" s="25">
        <v>0</v>
      </c>
      <c r="D37" s="15"/>
    </row>
    <row r="38" spans="1:20" ht="15.75" customHeight="1">
      <c r="A38" s="1"/>
      <c r="B38" s="8" t="s">
        <v>20</v>
      </c>
      <c r="C38" s="25">
        <v>10096.89</v>
      </c>
      <c r="D38" s="15"/>
    </row>
    <row r="39" spans="1:20" ht="15.75" customHeight="1">
      <c r="A39" s="1"/>
      <c r="B39" s="8" t="s">
        <v>21</v>
      </c>
      <c r="C39" s="25">
        <v>2088.4299999999998</v>
      </c>
      <c r="D39" s="15"/>
    </row>
    <row r="40" spans="1:20" ht="15.75" customHeight="1">
      <c r="A40" s="1"/>
      <c r="B40" s="8" t="s">
        <v>22</v>
      </c>
      <c r="C40" s="25">
        <v>12.82</v>
      </c>
      <c r="D40" s="15"/>
    </row>
    <row r="41" spans="1:20" ht="15.75" customHeight="1">
      <c r="A41" s="1"/>
      <c r="B41" s="9" t="s">
        <v>23</v>
      </c>
      <c r="C41" s="39">
        <f>SUM(C36:C40)</f>
        <v>12198.14</v>
      </c>
      <c r="D41" s="15"/>
    </row>
    <row r="42" spans="1:20" ht="15.75" customHeight="1">
      <c r="A42" s="1"/>
      <c r="B42" s="1"/>
      <c r="C42" s="15"/>
      <c r="D42" s="15"/>
    </row>
    <row r="43" spans="1:20" ht="15.75" customHeight="1">
      <c r="A43" s="1"/>
      <c r="B43" s="9" t="s">
        <v>24</v>
      </c>
      <c r="C43" s="40" t="s">
        <v>2</v>
      </c>
      <c r="D43" s="15"/>
    </row>
    <row r="44" spans="1:20" ht="15.75" customHeight="1">
      <c r="A44" s="1"/>
      <c r="B44" s="8" t="s">
        <v>25</v>
      </c>
      <c r="C44" s="25" t="e">
        <f>[1]Report!P7</f>
        <v>#REF!</v>
      </c>
      <c r="D44" s="15"/>
    </row>
    <row r="45" spans="1:20" ht="15.75" customHeight="1">
      <c r="A45" s="1"/>
      <c r="B45" s="8" t="s">
        <v>26</v>
      </c>
      <c r="C45" s="25" t="e">
        <f>[1]Report!Q7</f>
        <v>#REF!</v>
      </c>
      <c r="D45" s="15"/>
    </row>
    <row r="46" spans="1:20" ht="15.75" customHeight="1">
      <c r="A46" s="1"/>
      <c r="B46" s="8" t="s">
        <v>27</v>
      </c>
      <c r="C46" s="25" t="e">
        <f>[1]Report!R7</f>
        <v>#REF!</v>
      </c>
      <c r="D46" s="15"/>
    </row>
    <row r="47" spans="1:20" ht="15.75" customHeight="1">
      <c r="A47" s="1"/>
      <c r="B47" s="9" t="s">
        <v>28</v>
      </c>
      <c r="C47" s="39" t="e">
        <f>SUM(C44:C46)</f>
        <v>#REF!</v>
      </c>
      <c r="D47" s="15"/>
    </row>
    <row r="48" spans="1:20" ht="15.75" customHeight="1">
      <c r="A48" s="1"/>
      <c r="D48" s="15"/>
    </row>
    <row r="49" spans="1:4" ht="15.75" customHeight="1">
      <c r="A49" s="1"/>
      <c r="B49" s="12" t="s">
        <v>29</v>
      </c>
      <c r="C49" s="42" t="e">
        <f>C47+C41</f>
        <v>#REF!</v>
      </c>
      <c r="D49" s="15"/>
    </row>
    <row r="50" spans="1:4" ht="15.75" customHeight="1">
      <c r="A50" s="1"/>
      <c r="B50" s="1"/>
      <c r="C50" s="15"/>
      <c r="D50" s="15"/>
    </row>
    <row r="51" spans="1:4" ht="15.75" customHeight="1">
      <c r="A51" s="1"/>
      <c r="B51" s="1"/>
      <c r="C51" s="15"/>
      <c r="D51" s="15"/>
    </row>
    <row r="52" spans="1:4" ht="15.75" customHeight="1">
      <c r="A52" s="1"/>
      <c r="B52" s="1"/>
      <c r="C52" s="15"/>
      <c r="D52" s="15"/>
    </row>
    <row r="53" spans="1:4" ht="15.75" customHeight="1">
      <c r="A53" s="1"/>
      <c r="B53" s="1"/>
      <c r="C53" s="15"/>
      <c r="D53" s="15"/>
    </row>
    <row r="54" spans="1:4" ht="15.75" customHeight="1">
      <c r="A54" s="1"/>
      <c r="B54" s="1"/>
      <c r="C54" s="15"/>
      <c r="D54" s="15"/>
    </row>
    <row r="55" spans="1:4" ht="15.75" customHeight="1">
      <c r="A55" s="1"/>
      <c r="B55" s="327" t="s">
        <v>30</v>
      </c>
      <c r="C55" s="327"/>
      <c r="D55" s="15"/>
    </row>
    <row r="56" spans="1:4" ht="15.75" customHeight="1">
      <c r="A56" s="1"/>
      <c r="B56" s="327" t="s">
        <v>42</v>
      </c>
      <c r="C56" s="327"/>
      <c r="D56" s="15"/>
    </row>
    <row r="57" spans="1:4" ht="15.75" customHeight="1">
      <c r="A57" s="1"/>
      <c r="B57" s="327" t="s">
        <v>43</v>
      </c>
      <c r="C57" s="327"/>
      <c r="D57" s="15"/>
    </row>
    <row r="58" spans="1:4" ht="15.75" customHeight="1">
      <c r="A58" s="1"/>
      <c r="B58" s="1"/>
      <c r="C58" s="15"/>
      <c r="D58" s="15"/>
    </row>
    <row r="59" spans="1:4" ht="15.75" customHeight="1">
      <c r="A59" s="1"/>
      <c r="B59" s="1"/>
      <c r="C59" s="15"/>
      <c r="D59" s="15"/>
    </row>
    <row r="60" spans="1:4" ht="15.75" customHeight="1">
      <c r="A60" s="1"/>
      <c r="B60" s="1"/>
      <c r="C60" s="15"/>
      <c r="D60" s="15"/>
    </row>
    <row r="61" spans="1:4" ht="15.75" customHeight="1">
      <c r="A61" s="1"/>
      <c r="B61" s="1"/>
      <c r="C61" s="15"/>
      <c r="D61" s="15"/>
    </row>
    <row r="62" spans="1:4" s="1" customFormat="1" ht="15.75" customHeight="1">
      <c r="C62" s="15"/>
      <c r="D62" s="15"/>
    </row>
    <row r="63" spans="1:4" s="1" customFormat="1" ht="15.75" customHeight="1">
      <c r="C63" s="15"/>
      <c r="D63" s="15"/>
    </row>
    <row r="64" spans="1:4" s="1" customFormat="1" ht="15.75" customHeight="1">
      <c r="C64" s="15"/>
      <c r="D64" s="15"/>
    </row>
    <row r="65" spans="3:4" s="1" customFormat="1" ht="15.75" customHeight="1">
      <c r="C65" s="15"/>
      <c r="D65" s="15"/>
    </row>
    <row r="66" spans="3:4" s="1" customFormat="1" ht="15.75" customHeight="1">
      <c r="C66" s="15"/>
      <c r="D66" s="15"/>
    </row>
    <row r="67" spans="3:4" s="1" customFormat="1" ht="15.75" customHeight="1">
      <c r="C67" s="15"/>
      <c r="D67" s="15"/>
    </row>
    <row r="68" spans="3:4" s="1" customFormat="1" ht="15.75" customHeight="1">
      <c r="C68" s="15"/>
      <c r="D68" s="15"/>
    </row>
    <row r="69" spans="3:4" s="1" customFormat="1" ht="15.75" customHeight="1">
      <c r="C69" s="15"/>
      <c r="D69" s="15"/>
    </row>
    <row r="70" spans="3:4" s="1" customFormat="1" ht="15.75" customHeight="1">
      <c r="C70" s="15"/>
      <c r="D70" s="15"/>
    </row>
    <row r="71" spans="3:4" s="1" customFormat="1" ht="15.75" customHeight="1">
      <c r="C71" s="15"/>
      <c r="D71" s="15"/>
    </row>
    <row r="72" spans="3:4" s="1" customFormat="1" ht="15.75" customHeight="1">
      <c r="C72" s="15"/>
      <c r="D72" s="15"/>
    </row>
    <row r="73" spans="3:4" s="1" customFormat="1" ht="15.75" customHeight="1">
      <c r="C73" s="15"/>
      <c r="D73" s="15"/>
    </row>
    <row r="74" spans="3:4" s="1" customFormat="1" ht="15.75" customHeight="1">
      <c r="C74" s="15"/>
      <c r="D74" s="15"/>
    </row>
    <row r="75" spans="3:4" s="1" customFormat="1" ht="15.75" customHeight="1">
      <c r="C75" s="15"/>
      <c r="D75" s="15"/>
    </row>
    <row r="76" spans="3:4" s="1" customFormat="1" ht="15.75" customHeight="1">
      <c r="C76" s="15"/>
      <c r="D76" s="15"/>
    </row>
    <row r="77" spans="3:4" s="1" customFormat="1" ht="15.75" customHeight="1">
      <c r="C77" s="15"/>
      <c r="D77" s="15"/>
    </row>
    <row r="78" spans="3:4" s="1" customFormat="1" ht="15.75" customHeight="1">
      <c r="C78" s="15"/>
      <c r="D78" s="15"/>
    </row>
    <row r="79" spans="3:4" s="1" customFormat="1" ht="15.75" customHeight="1">
      <c r="C79" s="15"/>
      <c r="D79" s="15"/>
    </row>
    <row r="80" spans="3:4" s="1" customFormat="1" ht="15.75" customHeight="1">
      <c r="C80" s="15"/>
      <c r="D80" s="15"/>
    </row>
    <row r="81" spans="3:4" s="1" customFormat="1" ht="15.75" customHeight="1">
      <c r="C81" s="15"/>
      <c r="D81" s="15"/>
    </row>
    <row r="82" spans="3:4" s="1" customFormat="1" ht="15.75" customHeight="1">
      <c r="C82" s="15"/>
      <c r="D82" s="15"/>
    </row>
    <row r="83" spans="3:4" s="1" customFormat="1" ht="15.75" customHeight="1">
      <c r="C83" s="15"/>
      <c r="D83" s="15"/>
    </row>
    <row r="84" spans="3:4" s="1" customFormat="1" ht="15.75" customHeight="1">
      <c r="C84" s="15"/>
      <c r="D84" s="15"/>
    </row>
    <row r="85" spans="3:4" s="1" customFormat="1" ht="15.75" customHeight="1">
      <c r="C85" s="15"/>
      <c r="D85" s="15"/>
    </row>
    <row r="86" spans="3:4" s="1" customFormat="1" ht="15.75" customHeight="1">
      <c r="C86" s="15"/>
      <c r="D86" s="15"/>
    </row>
    <row r="87" spans="3:4" s="1" customFormat="1" ht="15.75" customHeight="1">
      <c r="C87" s="15"/>
      <c r="D87" s="15"/>
    </row>
    <row r="88" spans="3:4" s="1" customFormat="1" ht="15.75" customHeight="1">
      <c r="C88" s="15"/>
      <c r="D88" s="15"/>
    </row>
    <row r="89" spans="3:4" s="1" customFormat="1" ht="15.75" customHeight="1">
      <c r="C89" s="15"/>
      <c r="D89" s="15"/>
    </row>
    <row r="90" spans="3:4" s="1" customFormat="1" ht="15.75" customHeight="1">
      <c r="C90" s="15"/>
      <c r="D90" s="15"/>
    </row>
    <row r="91" spans="3:4" s="1" customFormat="1" ht="15.75" customHeight="1">
      <c r="C91" s="15"/>
      <c r="D91" s="15"/>
    </row>
    <row r="92" spans="3:4" s="1" customFormat="1" ht="15.75" customHeight="1">
      <c r="C92" s="15"/>
      <c r="D92" s="15"/>
    </row>
    <row r="93" spans="3:4" s="1" customFormat="1" ht="15.75" customHeight="1">
      <c r="C93" s="15"/>
      <c r="D93" s="15"/>
    </row>
    <row r="94" spans="3:4" s="1" customFormat="1" ht="15.75" customHeight="1">
      <c r="C94" s="15"/>
      <c r="D94" s="15"/>
    </row>
    <row r="95" spans="3:4" s="1" customFormat="1" ht="15.75" customHeight="1">
      <c r="C95" s="15"/>
      <c r="D95" s="15"/>
    </row>
    <row r="96" spans="3:4" s="1" customFormat="1" ht="15.75" customHeight="1">
      <c r="C96" s="15"/>
      <c r="D96" s="15"/>
    </row>
    <row r="97" spans="3:4" s="1" customFormat="1" ht="15.75" customHeight="1">
      <c r="C97" s="15"/>
      <c r="D97" s="15"/>
    </row>
    <row r="98" spans="3:4" s="1" customFormat="1" ht="15.75" customHeight="1">
      <c r="C98" s="15"/>
      <c r="D98" s="15"/>
    </row>
    <row r="99" spans="3:4" s="1" customFormat="1" ht="15.75" customHeight="1">
      <c r="C99" s="15"/>
      <c r="D99" s="15"/>
    </row>
    <row r="100" spans="3:4" s="1" customFormat="1" ht="15.75" customHeight="1">
      <c r="C100" s="15"/>
      <c r="D100" s="15"/>
    </row>
    <row r="101" spans="3:4" s="1" customFormat="1" ht="15.75" customHeight="1">
      <c r="C101" s="15"/>
      <c r="D101" s="15"/>
    </row>
    <row r="102" spans="3:4" s="1" customFormat="1" ht="15.75" customHeight="1">
      <c r="C102" s="15"/>
      <c r="D102" s="15"/>
    </row>
    <row r="103" spans="3:4" s="1" customFormat="1" ht="15.75" customHeight="1">
      <c r="C103" s="15"/>
      <c r="D103" s="15"/>
    </row>
    <row r="104" spans="3:4" s="1" customFormat="1" ht="15.75" customHeight="1">
      <c r="C104" s="15"/>
      <c r="D104" s="15"/>
    </row>
    <row r="105" spans="3:4" s="1" customFormat="1" ht="15.75" customHeight="1">
      <c r="C105" s="15"/>
      <c r="D105" s="15"/>
    </row>
    <row r="106" spans="3:4" s="1" customFormat="1" ht="15.75" customHeight="1">
      <c r="C106" s="15"/>
      <c r="D106" s="15"/>
    </row>
    <row r="107" spans="3:4" s="1" customFormat="1" ht="15.75" customHeight="1">
      <c r="C107" s="15"/>
      <c r="D107" s="15"/>
    </row>
    <row r="108" spans="3:4" s="1" customFormat="1" ht="15.75" customHeight="1">
      <c r="C108" s="15"/>
      <c r="D108" s="15"/>
    </row>
    <row r="109" spans="3:4" s="1" customFormat="1" ht="15.75" customHeight="1">
      <c r="C109" s="15"/>
      <c r="D109" s="15"/>
    </row>
    <row r="110" spans="3:4" s="1" customFormat="1" ht="15.75" customHeight="1">
      <c r="C110" s="15"/>
      <c r="D110" s="15"/>
    </row>
    <row r="111" spans="3:4" s="1" customFormat="1" ht="15.75" customHeight="1">
      <c r="C111" s="15"/>
      <c r="D111" s="15"/>
    </row>
    <row r="112" spans="3:4" s="1" customFormat="1" ht="15.75" customHeight="1">
      <c r="C112" s="15"/>
      <c r="D112" s="15"/>
    </row>
    <row r="113" spans="3:4" s="1" customFormat="1" ht="15.75" customHeight="1">
      <c r="C113" s="15"/>
      <c r="D113" s="15"/>
    </row>
    <row r="114" spans="3:4" s="1" customFormat="1" ht="15.75" customHeight="1">
      <c r="C114" s="15"/>
      <c r="D114" s="15"/>
    </row>
    <row r="115" spans="3:4" s="1" customFormat="1" ht="15.75" customHeight="1">
      <c r="C115" s="15"/>
      <c r="D115" s="15"/>
    </row>
    <row r="116" spans="3:4" s="1" customFormat="1" ht="15.75" customHeight="1">
      <c r="C116" s="15"/>
      <c r="D116" s="15"/>
    </row>
    <row r="117" spans="3:4" s="1" customFormat="1" ht="15.75" customHeight="1">
      <c r="C117" s="15"/>
      <c r="D117" s="15"/>
    </row>
    <row r="118" spans="3:4" s="1" customFormat="1" ht="15.75" customHeight="1">
      <c r="C118" s="15"/>
      <c r="D118" s="15"/>
    </row>
    <row r="119" spans="3:4" s="1" customFormat="1" ht="15.75" customHeight="1">
      <c r="C119" s="15"/>
      <c r="D119" s="15"/>
    </row>
    <row r="120" spans="3:4" s="1" customFormat="1" ht="15.75" customHeight="1">
      <c r="C120" s="15"/>
      <c r="D120" s="15"/>
    </row>
    <row r="121" spans="3:4" s="1" customFormat="1" ht="15.75" customHeight="1">
      <c r="C121" s="15"/>
      <c r="D121" s="15"/>
    </row>
    <row r="122" spans="3:4" s="1" customFormat="1" ht="15.75" customHeight="1">
      <c r="C122" s="15"/>
      <c r="D122" s="15"/>
    </row>
    <row r="123" spans="3:4" s="1" customFormat="1" ht="15.75" customHeight="1">
      <c r="C123" s="15"/>
      <c r="D123" s="15"/>
    </row>
    <row r="124" spans="3:4" s="1" customFormat="1" ht="15.75" customHeight="1">
      <c r="C124" s="15"/>
      <c r="D124" s="15"/>
    </row>
    <row r="125" spans="3:4" s="1" customFormat="1" ht="15.75" customHeight="1">
      <c r="C125" s="15"/>
      <c r="D125" s="15"/>
    </row>
    <row r="126" spans="3:4" s="1" customFormat="1" ht="15.75" customHeight="1">
      <c r="C126" s="15"/>
      <c r="D126" s="15"/>
    </row>
    <row r="127" spans="3:4" s="1" customFormat="1" ht="15.75" customHeight="1">
      <c r="C127" s="15"/>
      <c r="D127" s="15"/>
    </row>
    <row r="128" spans="3:4" s="1" customFormat="1" ht="15.75" customHeight="1">
      <c r="C128" s="15"/>
      <c r="D128" s="15"/>
    </row>
    <row r="129" spans="3:4" s="1" customFormat="1" ht="15.75" customHeight="1">
      <c r="C129" s="15"/>
      <c r="D129" s="15"/>
    </row>
    <row r="130" spans="3:4" s="1" customFormat="1" ht="15.75" customHeight="1">
      <c r="C130" s="15"/>
      <c r="D130" s="15"/>
    </row>
    <row r="131" spans="3:4" s="1" customFormat="1" ht="15.75" customHeight="1">
      <c r="C131" s="15"/>
      <c r="D131" s="15"/>
    </row>
    <row r="132" spans="3:4" s="1" customFormat="1" ht="15.75" customHeight="1">
      <c r="C132" s="15"/>
      <c r="D132" s="15"/>
    </row>
    <row r="133" spans="3:4" s="1" customFormat="1" ht="15.75" customHeight="1">
      <c r="C133" s="15"/>
      <c r="D133" s="15"/>
    </row>
    <row r="134" spans="3:4" s="1" customFormat="1" ht="15.75" customHeight="1">
      <c r="C134" s="15"/>
      <c r="D134" s="15"/>
    </row>
    <row r="135" spans="3:4" s="1" customFormat="1" ht="15.75" customHeight="1">
      <c r="C135" s="15"/>
      <c r="D135" s="15"/>
    </row>
    <row r="136" spans="3:4" s="1" customFormat="1" ht="15.75" customHeight="1">
      <c r="C136" s="15"/>
      <c r="D136" s="15"/>
    </row>
    <row r="137" spans="3:4" s="1" customFormat="1" ht="15.75" customHeight="1">
      <c r="C137" s="15"/>
      <c r="D137" s="15"/>
    </row>
    <row r="138" spans="3:4" s="1" customFormat="1" ht="15.75" customHeight="1">
      <c r="C138" s="15"/>
      <c r="D138" s="15"/>
    </row>
    <row r="139" spans="3:4" s="1" customFormat="1" ht="15.75" customHeight="1">
      <c r="C139" s="15"/>
      <c r="D139" s="15"/>
    </row>
    <row r="140" spans="3:4" s="1" customFormat="1" ht="15.75" customHeight="1">
      <c r="C140" s="15"/>
      <c r="D140" s="15"/>
    </row>
    <row r="141" spans="3:4" s="1" customFormat="1" ht="15.75" customHeight="1">
      <c r="C141" s="15"/>
      <c r="D141" s="15"/>
    </row>
    <row r="142" spans="3:4" s="1" customFormat="1" ht="15.75" customHeight="1">
      <c r="C142" s="15"/>
      <c r="D142" s="15"/>
    </row>
    <row r="143" spans="3:4" s="1" customFormat="1" ht="15.75" customHeight="1">
      <c r="C143" s="15"/>
      <c r="D143" s="15"/>
    </row>
    <row r="144" spans="3:4" s="1" customFormat="1" ht="15.75" customHeight="1">
      <c r="C144" s="15"/>
      <c r="D144" s="15"/>
    </row>
    <row r="145" spans="3:4" s="1" customFormat="1" ht="15.75" customHeight="1">
      <c r="C145" s="15"/>
      <c r="D145" s="15"/>
    </row>
    <row r="146" spans="3:4" s="1" customFormat="1" ht="15.75" customHeight="1">
      <c r="C146" s="15"/>
      <c r="D146" s="15"/>
    </row>
    <row r="147" spans="3:4" s="1" customFormat="1" ht="15.75" customHeight="1">
      <c r="C147" s="15"/>
      <c r="D147" s="15"/>
    </row>
    <row r="148" spans="3:4" s="1" customFormat="1" ht="15.75" customHeight="1">
      <c r="C148" s="15"/>
      <c r="D148" s="15"/>
    </row>
    <row r="149" spans="3:4" s="1" customFormat="1" ht="15.75" customHeight="1">
      <c r="C149" s="15"/>
      <c r="D149" s="15"/>
    </row>
    <row r="150" spans="3:4" s="1" customFormat="1" ht="15.75" customHeight="1">
      <c r="C150" s="15"/>
      <c r="D150" s="15"/>
    </row>
    <row r="151" spans="3:4" s="1" customFormat="1" ht="15.75" customHeight="1">
      <c r="C151" s="15"/>
      <c r="D151" s="15"/>
    </row>
    <row r="152" spans="3:4" s="1" customFormat="1" ht="15.75" customHeight="1">
      <c r="C152" s="15"/>
      <c r="D152" s="15"/>
    </row>
    <row r="153" spans="3:4" s="1" customFormat="1" ht="15.75" customHeight="1">
      <c r="C153" s="15"/>
      <c r="D153" s="15"/>
    </row>
    <row r="154" spans="3:4" s="1" customFormat="1" ht="15.75" customHeight="1">
      <c r="C154" s="15"/>
      <c r="D154" s="15"/>
    </row>
    <row r="155" spans="3:4" s="1" customFormat="1" ht="15.75" customHeight="1">
      <c r="C155" s="15"/>
      <c r="D155" s="15"/>
    </row>
    <row r="156" spans="3:4" s="1" customFormat="1" ht="15.75" customHeight="1">
      <c r="C156" s="15"/>
      <c r="D156" s="15"/>
    </row>
    <row r="157" spans="3:4" s="1" customFormat="1" ht="15.75" customHeight="1">
      <c r="C157" s="15"/>
      <c r="D157" s="15"/>
    </row>
    <row r="158" spans="3:4" s="1" customFormat="1" ht="15.75" customHeight="1">
      <c r="C158" s="15"/>
      <c r="D158" s="15"/>
    </row>
    <row r="159" spans="3:4" s="1" customFormat="1" ht="15.75" customHeight="1">
      <c r="C159" s="15"/>
      <c r="D159" s="15"/>
    </row>
    <row r="160" spans="3:4" s="1" customFormat="1" ht="15.75" customHeight="1">
      <c r="C160" s="15"/>
      <c r="D160" s="15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51181102362204722" right="0.51181102362204722" top="0.92992125984251972" bottom="1.0826771653543306" header="0.31535433070866142" footer="0.78740157480314954"/>
  <pageSetup paperSize="9" fitToWidth="0" fitToHeight="0" pageOrder="overThenDown" orientation="portrait" verticalDpi="0" r:id="rId1"/>
  <headerFooter alignWithMargins="0">
    <oddHeader>&amp;CPRESTAÇÃO DE CONTAS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8"/>
  <sheetViews>
    <sheetView showGridLines="0" topLeftCell="A7" workbookViewId="0">
      <selection activeCell="B12" sqref="B12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9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09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341" t="s">
        <v>0</v>
      </c>
      <c r="C6" s="34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342" t="s">
        <v>1</v>
      </c>
      <c r="C7" s="113" t="s">
        <v>110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342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479799.58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254933.63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140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589142.80000000005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111</v>
      </c>
      <c r="C13" s="115">
        <v>53413.64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112</v>
      </c>
      <c r="C14" s="115">
        <v>23109.759999999998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113</v>
      </c>
      <c r="C15" s="115">
        <v>11352.6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114</v>
      </c>
      <c r="C16" s="115">
        <v>4732.95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115</v>
      </c>
      <c r="C17" s="115">
        <v>16215.09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1559393.9700000002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342" t="s">
        <v>10</v>
      </c>
      <c r="C22" s="343" t="s">
        <v>110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342"/>
      <c r="C23" s="343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108</v>
      </c>
      <c r="C25" s="115">
        <v>480255.83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116</v>
      </c>
      <c r="C26" s="115">
        <v>58389.67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15672.66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609616-C25-C26-C27-C28</f>
        <v>55297.839999999982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609616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949777.9700000002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342" t="s">
        <v>16</v>
      </c>
      <c r="C34" s="343" t="s">
        <v>110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342"/>
      <c r="C35" s="343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199319.76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102485.69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126680.24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428485.69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35919619.28-C39-C40-C41</f>
        <v>35491133.590000004</v>
      </c>
    </row>
    <row r="46" spans="1:19" ht="15.75" customHeight="1">
      <c r="B46" s="114" t="s">
        <v>26</v>
      </c>
      <c r="C46" s="115">
        <v>10722474.15</v>
      </c>
    </row>
    <row r="47" spans="1:19" ht="15.75" customHeight="1">
      <c r="B47" s="114" t="s">
        <v>27</v>
      </c>
      <c r="C47" s="115">
        <v>5459.54</v>
      </c>
    </row>
    <row r="48" spans="1:19" ht="15.75" customHeight="1">
      <c r="B48" s="118" t="s">
        <v>28</v>
      </c>
      <c r="C48" s="129">
        <f>SUM(C45:C47)</f>
        <v>46219067.280000001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46647552.969999999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339" t="s">
        <v>30</v>
      </c>
      <c r="C56" s="339"/>
    </row>
    <row r="57" spans="2:3" ht="15.75" customHeight="1">
      <c r="B57" s="340" t="s">
        <v>117</v>
      </c>
      <c r="C57" s="340"/>
    </row>
    <row r="58" spans="2:3" ht="15.75" customHeight="1">
      <c r="B58" s="339" t="s">
        <v>102</v>
      </c>
      <c r="C58" s="339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61"/>
  <sheetViews>
    <sheetView showGridLines="0" workbookViewId="0">
      <selection activeCell="H3" sqref="H3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08" bestFit="1" customWidth="1"/>
    <col min="8" max="8" width="13.5703125" style="108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/>
      <c r="B1" s="106"/>
      <c r="C1" s="109"/>
      <c r="D1" s="109"/>
      <c r="E1" s="106"/>
      <c r="F1" s="144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119</v>
      </c>
      <c r="D6" s="139">
        <v>2021</v>
      </c>
      <c r="E6" s="140"/>
      <c r="F6" s="145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350" t="s">
        <v>127</v>
      </c>
      <c r="C7" s="351"/>
      <c r="D7" s="351"/>
      <c r="E7" s="111"/>
      <c r="F7" s="146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352"/>
      <c r="C8" s="353"/>
      <c r="D8" s="353"/>
      <c r="E8" s="111"/>
      <c r="F8" s="146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968190.17+2459.6</f>
        <v>970649.77</v>
      </c>
      <c r="D10" s="138">
        <v>6518117.0599999996</v>
      </c>
      <c r="E10" s="106"/>
      <c r="F10" s="147">
        <f>13474.55+460367.24+13454.11+2578.28+2459.61+463582.17+13474.55+1258.84</f>
        <v>970649.35</v>
      </c>
      <c r="G10" s="143">
        <f>F10-C10</f>
        <v>-0.42000000004190952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f>514649.08</f>
        <v>514649.08</v>
      </c>
      <c r="D11" s="135">
        <v>3868565.92</v>
      </c>
      <c r="E11" s="106"/>
      <c r="F11" s="147">
        <f>1627+8574.71+140750.5+8574.71+292960.97+8561.71+1640.72+1565.21+50393.37</f>
        <v>514648.89999999997</v>
      </c>
      <c r="G11" s="143">
        <f>C11-F11</f>
        <v>0.18000000005122274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5</v>
      </c>
      <c r="C12" s="115">
        <v>126693.92</v>
      </c>
      <c r="D12" s="115">
        <v>1882424.52</v>
      </c>
      <c r="E12" s="106"/>
      <c r="F12" s="147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466631.18</v>
      </c>
      <c r="D13" s="115">
        <v>2738013.47</v>
      </c>
      <c r="E13" s="108" t="s">
        <v>142</v>
      </c>
      <c r="F13" s="147">
        <v>480055.12</v>
      </c>
      <c r="G13" s="149">
        <f>F13-C13</f>
        <v>13423.940000000002</v>
      </c>
      <c r="H13" s="149" t="s">
        <v>141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122</v>
      </c>
      <c r="C14" s="115">
        <v>54033.24</v>
      </c>
      <c r="D14" s="115">
        <v>713748.1</v>
      </c>
      <c r="E14" s="106"/>
      <c r="F14" s="147"/>
      <c r="G14" s="143">
        <f>D13-2580149.87</f>
        <v>157863.60000000009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123</v>
      </c>
      <c r="C15" s="115">
        <v>23494.04</v>
      </c>
      <c r="D15" s="115">
        <v>301239.39</v>
      </c>
      <c r="E15" s="106"/>
      <c r="F15" s="147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124</v>
      </c>
      <c r="C16" s="115">
        <v>11542.27</v>
      </c>
      <c r="D16" s="115" t="e">
        <f>#REF!+#REF!+#REF!+#REF!+#REF!+#REF!+#REF!+#REF!+#REF!+#REF!+#REF!+#REF!</f>
        <v>#REF!</v>
      </c>
      <c r="E16" s="106"/>
      <c r="F16" s="147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125</v>
      </c>
      <c r="C17" s="115">
        <v>4812.01</v>
      </c>
      <c r="D17" s="115" t="e">
        <f>#REF!+#REF!+#REF!+#REF!+#REF!+#REF!+#REF!+#REF!+#REF!+#REF!+#REF!+#REF!</f>
        <v>#REF!</v>
      </c>
      <c r="E17" s="106"/>
      <c r="F17" s="147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126</v>
      </c>
      <c r="C18" s="115">
        <v>16485.12</v>
      </c>
      <c r="D18" s="115" t="e">
        <f>#REF!+#REF!+#REF!+#REF!+#REF!+#REF!+#REF!+#REF!+#REF!</f>
        <v>#REF!</v>
      </c>
      <c r="E18" s="106"/>
      <c r="F18" s="147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15">
        <v>78971.600000000006</v>
      </c>
      <c r="E19" s="106"/>
      <c r="F19" s="147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8</v>
      </c>
      <c r="C20" s="115">
        <v>481.29</v>
      </c>
      <c r="D20" s="115">
        <v>481.29</v>
      </c>
      <c r="E20" s="106"/>
      <c r="F20" s="147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2189471.92</v>
      </c>
      <c r="D21" s="117" t="e">
        <f>SUM(D10:D20)</f>
        <v>#REF!</v>
      </c>
      <c r="E21" s="111"/>
      <c r="F21" s="146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354" t="s">
        <v>128</v>
      </c>
      <c r="C23" s="355"/>
      <c r="D23" s="355"/>
      <c r="E23" s="111"/>
      <c r="F23" s="146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352"/>
      <c r="C24" s="353"/>
      <c r="D24" s="353"/>
      <c r="E24" s="106"/>
      <c r="F24" s="147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724869.92</v>
      </c>
      <c r="D26" s="115">
        <v>5945136.54</v>
      </c>
      <c r="E26" s="106"/>
      <c r="F26" s="14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116</v>
      </c>
      <c r="C27" s="115">
        <v>85760.25</v>
      </c>
      <c r="D27" s="115">
        <v>734430.56</v>
      </c>
      <c r="E27" s="106"/>
      <c r="F27" s="147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27220.99</v>
      </c>
      <c r="D28" s="119">
        <v>279167.65000000002</v>
      </c>
      <c r="E28" s="106"/>
      <c r="F28" s="147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v>8057.66</v>
      </c>
      <c r="E29" s="106"/>
      <c r="F29" s="147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f>878902.8-C26-C27-C28-C29</f>
        <v>41051.64</v>
      </c>
      <c r="D30" s="119">
        <f>7327371.09-D26-D27-D28-D29</f>
        <v>360578.67999999976</v>
      </c>
      <c r="E30" s="106"/>
      <c r="F30" s="147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878902.8</v>
      </c>
      <c r="D31" s="121">
        <f>SUM(D26:D30)</f>
        <v>7327371.0899999999</v>
      </c>
      <c r="E31" s="111"/>
      <c r="F31" s="146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1310569.1199999999</v>
      </c>
      <c r="D32" s="124" t="e">
        <f>D21-D31</f>
        <v>#REF!</v>
      </c>
      <c r="E32" s="111"/>
      <c r="F32" s="146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356" t="s">
        <v>15</v>
      </c>
      <c r="C34" s="357"/>
      <c r="D34" s="357"/>
      <c r="E34" s="111"/>
      <c r="F34" s="146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354" t="s">
        <v>16</v>
      </c>
      <c r="C35" s="355"/>
      <c r="D35" s="355"/>
      <c r="E35" s="111"/>
      <c r="F35" s="146"/>
      <c r="G35" s="111" t="s">
        <v>118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354"/>
      <c r="C36" s="355"/>
      <c r="D36" s="355"/>
      <c r="E36" s="106"/>
      <c r="F36" s="147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360" t="s">
        <v>2</v>
      </c>
      <c r="D37" s="361"/>
      <c r="E37" s="106"/>
      <c r="F37" s="147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344">
        <v>0</v>
      </c>
      <c r="D38" s="345"/>
      <c r="E38" s="106"/>
      <c r="F38" s="147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344">
        <v>250.71</v>
      </c>
      <c r="D39" s="345"/>
      <c r="E39" s="106"/>
      <c r="F39" s="147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344">
        <v>0</v>
      </c>
      <c r="D40" s="345"/>
      <c r="E40" s="106"/>
      <c r="F40" s="147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344">
        <v>12818.69</v>
      </c>
      <c r="D41" s="345"/>
      <c r="E41" s="106"/>
      <c r="F41" s="147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344">
        <v>86.76</v>
      </c>
      <c r="D42" s="345"/>
      <c r="E42" s="106"/>
      <c r="F42" s="147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344">
        <v>37.32</v>
      </c>
      <c r="D43" s="345"/>
      <c r="E43" s="106"/>
      <c r="F43" s="147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346">
        <f>SUM(C38:C43)</f>
        <v>13193.48</v>
      </c>
      <c r="D44" s="347"/>
      <c r="E44" s="106"/>
      <c r="F44" s="147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358" t="s">
        <v>2</v>
      </c>
      <c r="D46" s="359"/>
      <c r="E46" s="106"/>
      <c r="F46" s="147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344">
        <v>36824354.890000001</v>
      </c>
      <c r="D47" s="345"/>
    </row>
    <row r="48" spans="1:20" ht="15.75" customHeight="1">
      <c r="B48" s="114" t="s">
        <v>26</v>
      </c>
      <c r="C48" s="344">
        <v>10818247</v>
      </c>
      <c r="D48" s="345"/>
    </row>
    <row r="49" spans="2:4" ht="15.75" customHeight="1">
      <c r="B49" s="114" t="s">
        <v>27</v>
      </c>
      <c r="C49" s="344">
        <v>0</v>
      </c>
      <c r="D49" s="345"/>
    </row>
    <row r="50" spans="2:4" ht="15.75" customHeight="1">
      <c r="B50" s="114" t="s">
        <v>131</v>
      </c>
      <c r="C50" s="344">
        <v>292180.15999999997</v>
      </c>
      <c r="D50" s="345"/>
    </row>
    <row r="51" spans="2:4" ht="15.75" customHeight="1">
      <c r="B51" s="118" t="s">
        <v>28</v>
      </c>
      <c r="C51" s="346">
        <f>SUM(C47:C50)-C44</f>
        <v>47921588.57</v>
      </c>
      <c r="D51" s="347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348">
        <f>C51+C44</f>
        <v>47934782.049999997</v>
      </c>
      <c r="D53" s="349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339"/>
      <c r="C61" s="339"/>
    </row>
  </sheetData>
  <mergeCells count="20">
    <mergeCell ref="B7:D8"/>
    <mergeCell ref="B23:D24"/>
    <mergeCell ref="B34:D34"/>
    <mergeCell ref="B35:D36"/>
    <mergeCell ref="C46:D46"/>
    <mergeCell ref="C37:D37"/>
    <mergeCell ref="C38:D38"/>
    <mergeCell ref="C39:D39"/>
    <mergeCell ref="C40:D40"/>
    <mergeCell ref="C41:D41"/>
    <mergeCell ref="C42:D42"/>
    <mergeCell ref="C43:D43"/>
    <mergeCell ref="C44:D44"/>
    <mergeCell ref="B61:C61"/>
    <mergeCell ref="C47:D47"/>
    <mergeCell ref="C48:D48"/>
    <mergeCell ref="C49:D49"/>
    <mergeCell ref="C50:D50"/>
    <mergeCell ref="C51:D51"/>
    <mergeCell ref="C53:D53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61"/>
  <sheetViews>
    <sheetView showGridLines="0" topLeftCell="A7" workbookViewId="0">
      <selection activeCell="A7" sqref="A1:XFD1048576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31</v>
      </c>
      <c r="D6" s="139">
        <v>2022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350" t="s">
        <v>127</v>
      </c>
      <c r="C7" s="351"/>
      <c r="D7" s="351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352"/>
      <c r="C8" s="353"/>
      <c r="D8" s="353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467985.07+2546.27</f>
        <v>470531.34</v>
      </c>
      <c r="D10" s="138">
        <f>C10</f>
        <v>470531.34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v>452327.34</v>
      </c>
      <c r="D11" s="138">
        <f t="shared" ref="D11:D20" si="0">C11</f>
        <v>452327.34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148</v>
      </c>
      <c r="C12" s="115">
        <v>126693.92</v>
      </c>
      <c r="D12" s="138">
        <f t="shared" si="0"/>
        <v>126693.92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38967.99</v>
      </c>
      <c r="D13" s="138">
        <f t="shared" si="0"/>
        <v>38967.99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143</v>
      </c>
      <c r="C14" s="115">
        <v>54487.12</v>
      </c>
      <c r="D14" s="138">
        <f t="shared" si="0"/>
        <v>54487.12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144</v>
      </c>
      <c r="C15" s="115">
        <v>23811.51</v>
      </c>
      <c r="D15" s="138">
        <f t="shared" si="0"/>
        <v>23811.51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145</v>
      </c>
      <c r="C16" s="115">
        <v>11697.01</v>
      </c>
      <c r="D16" s="138">
        <f t="shared" si="0"/>
        <v>11697.01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146</v>
      </c>
      <c r="C17" s="115">
        <v>4876.53</v>
      </c>
      <c r="D17" s="138">
        <f t="shared" si="0"/>
        <v>4876.53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147</v>
      </c>
      <c r="C18" s="115">
        <v>16706.07</v>
      </c>
      <c r="D18" s="138">
        <f t="shared" si="0"/>
        <v>16706.07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149</v>
      </c>
      <c r="C20" s="115">
        <v>3231.48</v>
      </c>
      <c r="D20" s="138">
        <f t="shared" si="0"/>
        <v>3231.48</v>
      </c>
      <c r="E20" s="106"/>
      <c r="F20" s="147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1203330.3100000003</v>
      </c>
      <c r="D21" s="117">
        <f>SUM(D10:D20)</f>
        <v>1203330.3100000003</v>
      </c>
      <c r="E21" s="111"/>
      <c r="F21" s="146"/>
      <c r="G21" s="151"/>
      <c r="H21" s="15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 t="s">
        <v>118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350" t="s">
        <v>128</v>
      </c>
      <c r="C23" s="351"/>
      <c r="D23" s="351"/>
      <c r="E23" s="111"/>
      <c r="F23" s="146"/>
      <c r="G23" s="151"/>
      <c r="H23" s="15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352"/>
      <c r="C24" s="353"/>
      <c r="D24" s="353"/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487626.13</v>
      </c>
      <c r="D26" s="115">
        <f>C26</f>
        <v>487626.13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150</v>
      </c>
      <c r="C27" s="115">
        <v>65481.06</v>
      </c>
      <c r="D27" s="115">
        <f t="shared" ref="D27:D30" si="1">C27</f>
        <v>65481.06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17676.18</v>
      </c>
      <c r="D28" s="115">
        <f t="shared" si="1"/>
        <v>17676.18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f t="shared" si="1"/>
        <v>0</v>
      </c>
      <c r="E29" s="106"/>
      <c r="F29" s="147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v>7086.12</v>
      </c>
      <c r="D30" s="115">
        <f t="shared" si="1"/>
        <v>7086.12</v>
      </c>
      <c r="E30" s="106"/>
      <c r="F30" s="147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577869.49</v>
      </c>
      <c r="D31" s="121">
        <f>SUM(D26:D30)</f>
        <v>577869.49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625460.8200000003</v>
      </c>
      <c r="D32" s="124">
        <f>D21-D31</f>
        <v>625460.8200000003</v>
      </c>
      <c r="E32" s="111"/>
      <c r="F32" s="146"/>
      <c r="G32" s="151"/>
      <c r="H32" s="15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356" t="s">
        <v>15</v>
      </c>
      <c r="C34" s="357"/>
      <c r="D34" s="357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350" t="s">
        <v>16</v>
      </c>
      <c r="C35" s="351"/>
      <c r="D35" s="351"/>
      <c r="E35" s="111"/>
      <c r="F35" s="146"/>
      <c r="G35" s="151"/>
      <c r="H35" s="15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352"/>
      <c r="C36" s="353"/>
      <c r="D36" s="353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360" t="s">
        <v>2</v>
      </c>
      <c r="D37" s="361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344">
        <v>0</v>
      </c>
      <c r="D38" s="345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344">
        <v>336.91</v>
      </c>
      <c r="D39" s="345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344">
        <v>0</v>
      </c>
      <c r="D40" s="345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344">
        <v>558869.25</v>
      </c>
      <c r="D41" s="345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344">
        <v>7554.8</v>
      </c>
      <c r="D42" s="345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344">
        <v>126682.24000000001</v>
      </c>
      <c r="D43" s="345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346">
        <f>SUM(C38:C43)</f>
        <v>693443.20000000007</v>
      </c>
      <c r="D44" s="347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358" t="s">
        <v>2</v>
      </c>
      <c r="D46" s="359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344">
        <v>37502266.25</v>
      </c>
      <c r="D47" s="345"/>
    </row>
    <row r="48" spans="1:20" ht="15.75" customHeight="1">
      <c r="B48" s="114" t="s">
        <v>26</v>
      </c>
      <c r="C48" s="344">
        <v>10870519.810000001</v>
      </c>
      <c r="D48" s="345"/>
    </row>
    <row r="49" spans="2:4" ht="15.75" customHeight="1">
      <c r="B49" s="114" t="s">
        <v>27</v>
      </c>
      <c r="C49" s="344">
        <v>0</v>
      </c>
      <c r="D49" s="345"/>
    </row>
    <row r="50" spans="2:4" ht="15.75" customHeight="1">
      <c r="B50" s="114" t="s">
        <v>131</v>
      </c>
      <c r="C50" s="344">
        <v>281213.8</v>
      </c>
      <c r="D50" s="345"/>
    </row>
    <row r="51" spans="2:4" ht="15.75" customHeight="1">
      <c r="B51" s="118" t="s">
        <v>28</v>
      </c>
      <c r="C51" s="346">
        <f>SUM(C47:C50)-C44</f>
        <v>47960556.659999996</v>
      </c>
      <c r="D51" s="347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348">
        <f>C51+C44</f>
        <v>48653999.859999999</v>
      </c>
      <c r="D53" s="349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339"/>
      <c r="C61" s="339"/>
    </row>
  </sheetData>
  <mergeCells count="20">
    <mergeCell ref="C53:D53"/>
    <mergeCell ref="B61:C61"/>
    <mergeCell ref="C46:D46"/>
    <mergeCell ref="C47:D47"/>
    <mergeCell ref="C48:D48"/>
    <mergeCell ref="C49:D49"/>
    <mergeCell ref="C50:D50"/>
    <mergeCell ref="C51:D51"/>
    <mergeCell ref="C44:D44"/>
    <mergeCell ref="B7:D8"/>
    <mergeCell ref="B23:D24"/>
    <mergeCell ref="B34:D34"/>
    <mergeCell ref="B35:D36"/>
    <mergeCell ref="C37:D37"/>
    <mergeCell ref="C38:D38"/>
    <mergeCell ref="C39:D39"/>
    <mergeCell ref="C40:D40"/>
    <mergeCell ref="C41:D41"/>
    <mergeCell ref="C42:D42"/>
    <mergeCell ref="C43:D43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61"/>
  <sheetViews>
    <sheetView showGridLines="0" workbookViewId="0">
      <selection activeCell="C26" sqref="C26:D30"/>
    </sheetView>
  </sheetViews>
  <sheetFormatPr defaultRowHeight="15.75" customHeight="1"/>
  <cols>
    <col min="1" max="1" width="15.5703125" style="108" customWidth="1"/>
    <col min="2" max="2" width="59.7109375" style="108" customWidth="1"/>
    <col min="3" max="5" width="20" style="108" bestFit="1" customWidth="1"/>
    <col min="6" max="6" width="6.85546875" style="108" customWidth="1"/>
    <col min="7" max="7" width="18.42578125" style="148" bestFit="1" customWidth="1"/>
    <col min="8" max="8" width="14.7109375" style="151" bestFit="1" customWidth="1"/>
    <col min="9" max="9" width="13.5703125" style="151" bestFit="1" customWidth="1"/>
    <col min="10" max="21" width="9.5703125" style="108" customWidth="1"/>
    <col min="22" max="1025" width="9.42578125" style="108" customWidth="1"/>
    <col min="1026" max="16384" width="9.140625" style="108"/>
  </cols>
  <sheetData>
    <row r="1" spans="1:21" ht="15.75" customHeight="1">
      <c r="A1" s="106" t="s">
        <v>118</v>
      </c>
      <c r="B1" s="106"/>
      <c r="C1" s="109"/>
      <c r="D1" s="109"/>
      <c r="E1" s="109"/>
      <c r="F1" s="106"/>
      <c r="G1" s="144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5.75" customHeight="1">
      <c r="A2" s="106"/>
      <c r="B2" s="106"/>
      <c r="C2" s="109"/>
      <c r="D2" s="109"/>
      <c r="E2" s="109"/>
      <c r="F2" s="106"/>
      <c r="G2" s="144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15.75" customHeight="1">
      <c r="A3" s="106"/>
      <c r="B3" s="106"/>
      <c r="C3" s="109"/>
      <c r="D3" s="109"/>
      <c r="E3" s="109"/>
      <c r="F3" s="106"/>
      <c r="G3" s="144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ht="15.75" customHeight="1">
      <c r="A4" s="106"/>
      <c r="B4" s="106"/>
      <c r="C4" s="109"/>
      <c r="D4" s="109"/>
      <c r="E4" s="109"/>
      <c r="F4" s="106"/>
      <c r="G4" s="144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ht="15.75" customHeight="1">
      <c r="A5" s="106"/>
      <c r="B5" s="106"/>
      <c r="C5" s="109"/>
      <c r="D5" s="109"/>
      <c r="E5" s="109"/>
      <c r="F5" s="106"/>
      <c r="G5" s="144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41" customFormat="1" ht="24.95" customHeight="1">
      <c r="A6" s="140"/>
      <c r="B6" s="139" t="s">
        <v>0</v>
      </c>
      <c r="C6" s="139" t="s">
        <v>151</v>
      </c>
      <c r="D6" s="139" t="s">
        <v>31</v>
      </c>
      <c r="E6" s="139">
        <v>2022</v>
      </c>
      <c r="F6" s="140"/>
      <c r="G6" s="145"/>
      <c r="H6" s="151"/>
      <c r="I6" s="151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</row>
    <row r="7" spans="1:21" s="112" customFormat="1" ht="15.75" customHeight="1">
      <c r="A7" s="111"/>
      <c r="B7" s="350" t="s">
        <v>127</v>
      </c>
      <c r="C7" s="351"/>
      <c r="D7" s="351"/>
      <c r="E7" s="351"/>
      <c r="F7" s="111"/>
      <c r="G7" s="146"/>
      <c r="H7" s="151"/>
      <c r="I7" s="15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</row>
    <row r="8" spans="1:21" s="142" customFormat="1" ht="15.75" customHeight="1">
      <c r="A8" s="111"/>
      <c r="B8" s="352"/>
      <c r="C8" s="353"/>
      <c r="D8" s="353"/>
      <c r="E8" s="353"/>
      <c r="F8" s="111"/>
      <c r="G8" s="146"/>
      <c r="H8" s="151"/>
      <c r="I8" s="15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</row>
    <row r="9" spans="1:21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1"/>
      <c r="G9" s="146"/>
      <c r="H9" s="151"/>
      <c r="I9" s="15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</row>
    <row r="10" spans="1:21" ht="17.100000000000001" customHeight="1">
      <c r="A10" s="106"/>
      <c r="B10" s="136" t="s">
        <v>3</v>
      </c>
      <c r="C10" s="138">
        <v>358179.72</v>
      </c>
      <c r="D10" s="138">
        <f>467985.07+2546.27</f>
        <v>470531.34</v>
      </c>
      <c r="E10" s="138">
        <f>SUM(C10:D10)</f>
        <v>828711.06</v>
      </c>
      <c r="F10" s="106"/>
      <c r="G10" s="147"/>
      <c r="H10" s="152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</row>
    <row r="11" spans="1:21" ht="17.100000000000001" customHeight="1">
      <c r="A11" s="106"/>
      <c r="B11" s="114" t="s">
        <v>4</v>
      </c>
      <c r="C11" s="135">
        <v>227932.55</v>
      </c>
      <c r="D11" s="135">
        <v>452327.34</v>
      </c>
      <c r="E11" s="138">
        <f t="shared" ref="E11:E20" si="0">SUM(C11:D11)</f>
        <v>680259.89</v>
      </c>
      <c r="F11" s="106"/>
      <c r="G11" s="147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1:21" ht="17.100000000000001" customHeight="1">
      <c r="A12" s="106"/>
      <c r="B12" s="114" t="s">
        <v>152</v>
      </c>
      <c r="C12" s="115">
        <v>126693.92</v>
      </c>
      <c r="D12" s="115">
        <v>126693.92</v>
      </c>
      <c r="E12" s="138">
        <f t="shared" si="0"/>
        <v>253387.84</v>
      </c>
      <c r="F12" s="106"/>
      <c r="G12" s="147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spans="1:21" ht="17.100000000000001" customHeight="1">
      <c r="A13" s="106"/>
      <c r="B13" s="114" t="s">
        <v>6</v>
      </c>
      <c r="C13" s="115">
        <v>98226.79</v>
      </c>
      <c r="D13" s="115">
        <v>38967.99</v>
      </c>
      <c r="E13" s="138">
        <f t="shared" si="0"/>
        <v>137194.78</v>
      </c>
      <c r="G13" s="147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</row>
    <row r="14" spans="1:21" ht="17.100000000000001" customHeight="1">
      <c r="A14" s="106"/>
      <c r="B14" s="114" t="s">
        <v>153</v>
      </c>
      <c r="C14" s="115">
        <v>54884.88</v>
      </c>
      <c r="D14" s="115">
        <v>54487.12</v>
      </c>
      <c r="E14" s="138">
        <f t="shared" si="0"/>
        <v>109372</v>
      </c>
      <c r="F14" s="106"/>
      <c r="G14" s="147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</row>
    <row r="15" spans="1:21" ht="17.100000000000001" customHeight="1">
      <c r="A15" s="106"/>
      <c r="B15" s="114" t="s">
        <v>154</v>
      </c>
      <c r="C15" s="115">
        <v>0</v>
      </c>
      <c r="D15" s="115">
        <v>23811.51</v>
      </c>
      <c r="E15" s="138">
        <f t="shared" si="0"/>
        <v>23811.51</v>
      </c>
      <c r="F15" s="106"/>
      <c r="G15" s="147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21" ht="17.100000000000001" customHeight="1">
      <c r="A16" s="106"/>
      <c r="B16" s="114" t="s">
        <v>155</v>
      </c>
      <c r="C16" s="115">
        <v>11840.9</v>
      </c>
      <c r="D16" s="115">
        <v>11697.01</v>
      </c>
      <c r="E16" s="138">
        <f t="shared" si="0"/>
        <v>23537.91</v>
      </c>
      <c r="F16" s="106"/>
      <c r="G16" s="147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</row>
    <row r="17" spans="1:21" ht="17.100000000000001" customHeight="1">
      <c r="A17" s="106"/>
      <c r="B17" s="114" t="s">
        <v>156</v>
      </c>
      <c r="C17" s="115">
        <v>4936.5200000000004</v>
      </c>
      <c r="D17" s="115">
        <v>4876.53</v>
      </c>
      <c r="E17" s="138">
        <f t="shared" si="0"/>
        <v>9813.0499999999993</v>
      </c>
      <c r="F17" s="106"/>
      <c r="G17" s="14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ht="17.100000000000001" customHeight="1">
      <c r="A18" s="106"/>
      <c r="B18" s="114" t="s">
        <v>157</v>
      </c>
      <c r="C18" s="115">
        <v>17026.22</v>
      </c>
      <c r="D18" s="115">
        <v>16706.07</v>
      </c>
      <c r="E18" s="138">
        <f t="shared" si="0"/>
        <v>33732.29</v>
      </c>
      <c r="F18" s="106"/>
      <c r="G18" s="147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ht="17.100000000000001" customHeight="1">
      <c r="A19" s="106"/>
      <c r="B19" s="114" t="s">
        <v>7</v>
      </c>
      <c r="C19" s="115">
        <v>0</v>
      </c>
      <c r="D19" s="115">
        <v>0</v>
      </c>
      <c r="E19" s="138">
        <f t="shared" si="0"/>
        <v>0</v>
      </c>
      <c r="F19" s="106"/>
      <c r="G19" s="147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  <row r="20" spans="1:21" ht="17.100000000000001" customHeight="1">
      <c r="A20" s="106"/>
      <c r="B20" s="114" t="s">
        <v>149</v>
      </c>
      <c r="C20" s="115">
        <v>1168.1199999999999</v>
      </c>
      <c r="D20" s="115">
        <v>3231.48</v>
      </c>
      <c r="E20" s="138">
        <f t="shared" si="0"/>
        <v>4399.6000000000004</v>
      </c>
      <c r="F20" s="106"/>
      <c r="G20" s="147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1:21" s="112" customFormat="1" ht="15.75" customHeight="1">
      <c r="A21" s="111"/>
      <c r="B21" s="116" t="s">
        <v>9</v>
      </c>
      <c r="C21" s="117">
        <f>SUM(C10:C20)</f>
        <v>900889.62000000011</v>
      </c>
      <c r="D21" s="117">
        <f>SUM(D10:D20)</f>
        <v>1203330.3100000003</v>
      </c>
      <c r="E21" s="117">
        <f>SUM(E10:E20)</f>
        <v>2104219.9300000002</v>
      </c>
      <c r="F21" s="111"/>
      <c r="G21" s="146"/>
      <c r="H21" s="151"/>
      <c r="I21" s="15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</row>
    <row r="22" spans="1:21" ht="15.75" customHeight="1">
      <c r="A22" s="106"/>
      <c r="B22" s="106"/>
      <c r="C22" s="109"/>
      <c r="D22" s="109"/>
      <c r="E22" s="109"/>
      <c r="F22" s="106"/>
      <c r="G22" s="147" t="s">
        <v>118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1:21" s="112" customFormat="1" ht="15.75" customHeight="1">
      <c r="A23" s="111"/>
      <c r="B23" s="350" t="s">
        <v>128</v>
      </c>
      <c r="C23" s="351"/>
      <c r="D23" s="351"/>
      <c r="E23" s="351"/>
      <c r="F23" s="111"/>
      <c r="G23" s="146"/>
      <c r="H23" s="151"/>
      <c r="I23" s="15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ht="15.75" customHeight="1">
      <c r="A24" s="106"/>
      <c r="B24" s="352"/>
      <c r="C24" s="353"/>
      <c r="D24" s="353"/>
      <c r="E24" s="353"/>
      <c r="F24" s="106"/>
      <c r="G24" s="147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06"/>
      <c r="G25" s="147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1:21" ht="17.100000000000001" customHeight="1">
      <c r="A26" s="106"/>
      <c r="B26" s="114" t="s">
        <v>159</v>
      </c>
      <c r="C26" s="189">
        <v>495470.49</v>
      </c>
      <c r="D26" s="115">
        <v>487626.13</v>
      </c>
      <c r="E26" s="115">
        <f>SUM(C26:D26)</f>
        <v>983096.62</v>
      </c>
      <c r="F26" s="106"/>
      <c r="G26" s="147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</row>
    <row r="27" spans="1:21" ht="17.100000000000001" customHeight="1">
      <c r="A27" s="106"/>
      <c r="B27" s="114" t="s">
        <v>150</v>
      </c>
      <c r="C27" s="189">
        <v>63584.02</v>
      </c>
      <c r="D27" s="115">
        <v>65481.06</v>
      </c>
      <c r="E27" s="115">
        <f t="shared" ref="E27:E30" si="1">SUM(C27:D27)</f>
        <v>129065.07999999999</v>
      </c>
      <c r="F27" s="106"/>
      <c r="G27" s="147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</row>
    <row r="28" spans="1:21" ht="17.100000000000001" customHeight="1">
      <c r="A28" s="106"/>
      <c r="B28" s="114" t="s">
        <v>129</v>
      </c>
      <c r="C28" s="190">
        <v>21886.080000000002</v>
      </c>
      <c r="D28" s="119">
        <v>17676.18</v>
      </c>
      <c r="E28" s="115">
        <f t="shared" si="1"/>
        <v>39562.26</v>
      </c>
      <c r="F28" s="106"/>
      <c r="G28" s="147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</row>
    <row r="29" spans="1:21" ht="17.100000000000001" customHeight="1">
      <c r="A29" s="106"/>
      <c r="B29" s="114" t="s">
        <v>13</v>
      </c>
      <c r="C29" s="189">
        <v>0</v>
      </c>
      <c r="D29" s="115">
        <v>0</v>
      </c>
      <c r="E29" s="115">
        <f t="shared" si="1"/>
        <v>0</v>
      </c>
      <c r="F29" s="106"/>
      <c r="G29" s="147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</row>
    <row r="30" spans="1:21" ht="17.100000000000001" customHeight="1">
      <c r="A30" s="106"/>
      <c r="B30" s="114" t="s">
        <v>130</v>
      </c>
      <c r="C30" s="190">
        <v>14595.13</v>
      </c>
      <c r="D30" s="119">
        <v>7086.12</v>
      </c>
      <c r="E30" s="115">
        <f t="shared" si="1"/>
        <v>21681.25</v>
      </c>
      <c r="F30" s="106"/>
      <c r="G30" s="147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</row>
    <row r="31" spans="1:21" s="112" customFormat="1" ht="17.100000000000001" customHeight="1">
      <c r="A31" s="111"/>
      <c r="B31" s="120" t="s">
        <v>84</v>
      </c>
      <c r="C31" s="121">
        <f>SUM(C26:C30)</f>
        <v>595535.72</v>
      </c>
      <c r="D31" s="121">
        <f>SUM(D26:D30)</f>
        <v>577869.49</v>
      </c>
      <c r="E31" s="121">
        <f>SUM(E26:E30)</f>
        <v>1173405.21</v>
      </c>
      <c r="F31" s="111"/>
      <c r="G31" s="146"/>
      <c r="H31" s="151"/>
      <c r="I31" s="15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</row>
    <row r="32" spans="1:21" s="112" customFormat="1" ht="17.100000000000001" customHeight="1">
      <c r="A32" s="111"/>
      <c r="B32" s="163" t="s">
        <v>14</v>
      </c>
      <c r="C32" s="164">
        <f>C21-C31</f>
        <v>305353.90000000014</v>
      </c>
      <c r="D32" s="164">
        <f>D21-D31</f>
        <v>625460.8200000003</v>
      </c>
      <c r="E32" s="159">
        <f>E21-E31</f>
        <v>930814.7200000002</v>
      </c>
      <c r="F32" s="111"/>
      <c r="G32" s="146"/>
      <c r="H32" s="151"/>
      <c r="I32" s="15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</row>
    <row r="33" spans="1:21" ht="15.75" customHeight="1">
      <c r="A33" s="106"/>
      <c r="B33" s="106"/>
      <c r="C33" s="109"/>
      <c r="D33" s="109"/>
      <c r="E33" s="109"/>
      <c r="F33" s="106"/>
      <c r="G33" s="147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</row>
    <row r="34" spans="1:21" s="112" customFormat="1" ht="15.75" customHeight="1">
      <c r="A34" s="111"/>
      <c r="B34" s="362" t="s">
        <v>15</v>
      </c>
      <c r="C34" s="363"/>
      <c r="D34" s="363"/>
      <c r="E34" s="364"/>
      <c r="F34" s="111"/>
      <c r="G34" s="146"/>
      <c r="H34" s="151"/>
      <c r="I34" s="15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s="112" customFormat="1" ht="15.75" customHeight="1">
      <c r="A35" s="111"/>
      <c r="B35" s="350" t="s">
        <v>158</v>
      </c>
      <c r="C35" s="351"/>
      <c r="D35" s="351"/>
      <c r="E35" s="365"/>
      <c r="F35" s="111"/>
      <c r="G35" s="146"/>
      <c r="H35" s="151"/>
      <c r="I35" s="15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ht="15.75" customHeight="1">
      <c r="A36" s="106"/>
      <c r="B36" s="352"/>
      <c r="C36" s="353"/>
      <c r="D36" s="353"/>
      <c r="E36" s="366"/>
      <c r="F36" s="106"/>
      <c r="G36" s="147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1:21" ht="15.75" customHeight="1">
      <c r="A37" s="106"/>
      <c r="B37" s="153" t="s">
        <v>17</v>
      </c>
      <c r="C37" s="154"/>
      <c r="D37" s="154"/>
      <c r="E37" s="130" t="s">
        <v>2</v>
      </c>
      <c r="F37" s="147"/>
      <c r="G37" s="151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1" ht="15.75" customHeight="1">
      <c r="A38" s="106"/>
      <c r="B38" s="136" t="s">
        <v>18</v>
      </c>
      <c r="C38" s="155"/>
      <c r="D38" s="155"/>
      <c r="E38" s="161">
        <v>22668.42</v>
      </c>
      <c r="F38" s="147"/>
      <c r="G38" s="151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1" ht="15.75" customHeight="1">
      <c r="A39" s="106"/>
      <c r="B39" s="136" t="s">
        <v>19</v>
      </c>
      <c r="C39" s="155"/>
      <c r="D39" s="155"/>
      <c r="E39" s="161">
        <v>0</v>
      </c>
      <c r="F39" s="147"/>
      <c r="G39" s="151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1" ht="15.75" customHeight="1">
      <c r="A40" s="106"/>
      <c r="B40" s="136" t="s">
        <v>132</v>
      </c>
      <c r="C40" s="155"/>
      <c r="D40" s="155"/>
      <c r="E40" s="161">
        <v>0</v>
      </c>
      <c r="F40" s="147"/>
      <c r="G40" s="151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1" ht="15.75" customHeight="1">
      <c r="A41" s="106"/>
      <c r="B41" s="136" t="s">
        <v>20</v>
      </c>
      <c r="C41" s="155"/>
      <c r="D41" s="155"/>
      <c r="E41" s="161">
        <v>1110583.99</v>
      </c>
      <c r="F41" s="147"/>
      <c r="G41" s="151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1" ht="15.75" customHeight="1">
      <c r="A42" s="106"/>
      <c r="B42" s="136" t="s">
        <v>21</v>
      </c>
      <c r="C42" s="155"/>
      <c r="D42" s="155"/>
      <c r="E42" s="161">
        <v>22107.87</v>
      </c>
      <c r="F42" s="147"/>
      <c r="G42" s="151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1" ht="15.75" customHeight="1">
      <c r="A43" s="106"/>
      <c r="B43" s="136" t="s">
        <v>22</v>
      </c>
      <c r="C43" s="155"/>
      <c r="D43" s="155"/>
      <c r="E43" s="161">
        <v>39.32</v>
      </c>
      <c r="F43" s="147"/>
      <c r="G43" s="151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1" ht="15.75" customHeight="1">
      <c r="A44" s="106"/>
      <c r="B44" s="153" t="s">
        <v>23</v>
      </c>
      <c r="C44" s="154"/>
      <c r="D44" s="154"/>
      <c r="E44" s="160">
        <f>SUM(E38:E43)</f>
        <v>1155399.6000000001</v>
      </c>
      <c r="F44" s="147"/>
      <c r="G44" s="151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1" ht="15.75" customHeight="1">
      <c r="A45" s="106"/>
      <c r="B45" s="157"/>
      <c r="C45" s="150"/>
      <c r="D45" s="150"/>
      <c r="E45" s="150"/>
      <c r="F45" s="147"/>
      <c r="G45" s="151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1" ht="15.75" customHeight="1">
      <c r="A46" s="106"/>
      <c r="B46" s="153" t="s">
        <v>24</v>
      </c>
      <c r="C46" s="154"/>
      <c r="D46" s="154"/>
      <c r="E46" s="130" t="s">
        <v>2</v>
      </c>
      <c r="F46" s="147"/>
      <c r="G46" s="151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1" ht="15.75" customHeight="1">
      <c r="A47" s="106"/>
      <c r="B47" s="136" t="s">
        <v>25</v>
      </c>
      <c r="C47" s="155"/>
      <c r="D47" s="155"/>
      <c r="E47" s="161">
        <v>37731097.289999999</v>
      </c>
      <c r="F47" s="148"/>
      <c r="G47" s="151"/>
      <c r="I47" s="108"/>
    </row>
    <row r="48" spans="1:21" ht="15.75" customHeight="1">
      <c r="B48" s="136" t="s">
        <v>26</v>
      </c>
      <c r="C48" s="155"/>
      <c r="D48" s="155"/>
      <c r="E48" s="161">
        <v>10946409.25</v>
      </c>
      <c r="F48" s="148"/>
      <c r="G48" s="151"/>
      <c r="I48" s="108"/>
    </row>
    <row r="49" spans="2:9" ht="15.75" customHeight="1">
      <c r="B49" s="136" t="s">
        <v>27</v>
      </c>
      <c r="C49" s="155"/>
      <c r="D49" s="155"/>
      <c r="E49" s="161">
        <v>0</v>
      </c>
      <c r="F49" s="148"/>
      <c r="G49" s="151"/>
      <c r="I49" s="108"/>
    </row>
    <row r="50" spans="2:9" ht="15.75" customHeight="1">
      <c r="B50" s="136" t="s">
        <v>131</v>
      </c>
      <c r="C50" s="155"/>
      <c r="D50" s="155"/>
      <c r="E50" s="161">
        <v>267732.84000000003</v>
      </c>
      <c r="F50" s="148"/>
      <c r="G50" s="151"/>
      <c r="I50" s="108"/>
    </row>
    <row r="51" spans="2:9" ht="15.75" customHeight="1">
      <c r="B51" s="153" t="s">
        <v>28</v>
      </c>
      <c r="C51" s="154"/>
      <c r="D51" s="154"/>
      <c r="E51" s="160">
        <f>SUM(E47:E50)-E44</f>
        <v>47789839.780000001</v>
      </c>
      <c r="F51" s="148"/>
      <c r="G51" s="151"/>
      <c r="I51" s="108"/>
    </row>
    <row r="52" spans="2:9" ht="15.75" customHeight="1">
      <c r="B52" s="158"/>
      <c r="C52" s="132"/>
      <c r="D52" s="132"/>
      <c r="E52" s="155"/>
      <c r="F52" s="148"/>
      <c r="G52" s="151"/>
      <c r="I52" s="108"/>
    </row>
    <row r="53" spans="2:9" ht="15.75" customHeight="1">
      <c r="B53" s="133" t="s">
        <v>29</v>
      </c>
      <c r="C53" s="156"/>
      <c r="D53" s="156"/>
      <c r="E53" s="162">
        <f>E51+E44</f>
        <v>48945239.380000003</v>
      </c>
      <c r="F53" s="148"/>
      <c r="G53" s="151"/>
      <c r="I53" s="108"/>
    </row>
    <row r="54" spans="2:9" ht="15.75" customHeight="1">
      <c r="B54" s="106"/>
      <c r="C54" s="109"/>
      <c r="D54" s="109"/>
      <c r="E54" s="109"/>
    </row>
    <row r="55" spans="2:9" ht="15.75" customHeight="1">
      <c r="B55" s="106"/>
      <c r="C55" s="109"/>
      <c r="D55" s="109"/>
      <c r="E55" s="109"/>
    </row>
    <row r="56" spans="2:9" ht="15.75" customHeight="1">
      <c r="B56" s="106"/>
      <c r="C56" s="109"/>
      <c r="D56" s="109"/>
      <c r="E56" s="109"/>
    </row>
    <row r="57" spans="2:9" ht="15.75" customHeight="1">
      <c r="B57" s="106"/>
      <c r="C57" s="109"/>
      <c r="D57" s="109"/>
      <c r="E57" s="109"/>
    </row>
    <row r="58" spans="2:9" ht="15.75" customHeight="1">
      <c r="B58" s="106"/>
      <c r="C58" s="109"/>
      <c r="D58" s="109"/>
      <c r="E58" s="109"/>
    </row>
    <row r="59" spans="2:9" ht="15.75" customHeight="1">
      <c r="B59" s="106"/>
      <c r="C59" s="106"/>
      <c r="D59" s="106"/>
    </row>
    <row r="60" spans="2:9" ht="15.75" customHeight="1">
      <c r="B60" s="106"/>
      <c r="C60" s="106"/>
      <c r="D60" s="106"/>
    </row>
    <row r="61" spans="2:9" ht="15.75" customHeight="1">
      <c r="B61" s="106"/>
      <c r="C61" s="106"/>
      <c r="D61" s="106"/>
    </row>
  </sheetData>
  <mergeCells count="4">
    <mergeCell ref="B7:E8"/>
    <mergeCell ref="B23:E24"/>
    <mergeCell ref="B34:E34"/>
    <mergeCell ref="B35:E36"/>
  </mergeCells>
  <pageMargins left="0.78740157480314954" right="0.78740157480314954" top="1.1811023622047245" bottom="1.1811023622047245" header="0.78740157480314954" footer="0.78740157480314954"/>
  <pageSetup paperSize="9" scale="28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61"/>
  <sheetViews>
    <sheetView showGridLines="0" topLeftCell="A8" workbookViewId="0">
      <selection activeCell="C26" sqref="C26:E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1.42578125" style="108" customWidth="1"/>
    <col min="4" max="6" width="20" style="108" bestFit="1" customWidth="1"/>
    <col min="7" max="7" width="6.85546875" style="108" customWidth="1"/>
    <col min="8" max="8" width="18.42578125" style="148" bestFit="1" customWidth="1"/>
    <col min="9" max="9" width="14.7109375" style="151" bestFit="1" customWidth="1"/>
    <col min="10" max="10" width="13.5703125" style="151" bestFit="1" customWidth="1"/>
    <col min="11" max="22" width="9.5703125" style="108" customWidth="1"/>
    <col min="23" max="1026" width="9.42578125" style="108" customWidth="1"/>
    <col min="1027" max="16384" width="9.140625" style="108"/>
  </cols>
  <sheetData>
    <row r="1" spans="1:22" ht="15.75" customHeight="1">
      <c r="A1" s="106" t="s">
        <v>118</v>
      </c>
      <c r="B1" s="106"/>
      <c r="C1" s="106"/>
      <c r="D1" s="109"/>
      <c r="E1" s="109"/>
      <c r="F1" s="109"/>
      <c r="G1" s="106"/>
      <c r="H1" s="144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2" ht="15.75" customHeight="1">
      <c r="A2" s="106"/>
      <c r="B2" s="106"/>
      <c r="C2" s="106"/>
      <c r="D2" s="109"/>
      <c r="E2" s="109"/>
      <c r="F2" s="109"/>
      <c r="G2" s="106"/>
      <c r="H2" s="14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15.75" customHeight="1">
      <c r="A3" s="106"/>
      <c r="B3" s="106"/>
      <c r="C3" s="106"/>
      <c r="D3" s="109"/>
      <c r="E3" s="109"/>
      <c r="F3" s="109"/>
      <c r="G3" s="106"/>
      <c r="H3" s="144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ht="15.75" customHeight="1">
      <c r="A4" s="106"/>
      <c r="B4" s="106"/>
      <c r="C4" s="106"/>
      <c r="D4" s="109"/>
      <c r="E4" s="109"/>
      <c r="F4" s="109"/>
      <c r="G4" s="106"/>
      <c r="H4" s="144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ht="15.75" customHeight="1">
      <c r="A5" s="106"/>
      <c r="B5" s="106"/>
      <c r="C5" s="106"/>
      <c r="D5" s="109"/>
      <c r="E5" s="109"/>
      <c r="F5" s="109"/>
      <c r="G5" s="106"/>
      <c r="H5" s="144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s="141" customFormat="1" ht="24.95" customHeight="1">
      <c r="A6" s="140"/>
      <c r="B6" s="139" t="s">
        <v>0</v>
      </c>
      <c r="C6" s="139" t="s">
        <v>44</v>
      </c>
      <c r="D6" s="139" t="s">
        <v>151</v>
      </c>
      <c r="E6" s="139" t="s">
        <v>31</v>
      </c>
      <c r="F6" s="139">
        <v>2022</v>
      </c>
      <c r="G6" s="140"/>
      <c r="H6" s="145"/>
      <c r="I6" s="151"/>
      <c r="J6" s="151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s="112" customFormat="1" ht="15.75" customHeight="1">
      <c r="A7" s="111"/>
      <c r="B7" s="350" t="s">
        <v>127</v>
      </c>
      <c r="C7" s="351"/>
      <c r="D7" s="351"/>
      <c r="E7" s="351"/>
      <c r="F7" s="351"/>
      <c r="G7" s="111"/>
      <c r="H7" s="146"/>
      <c r="I7" s="151"/>
      <c r="J7" s="15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1:22" s="142" customFormat="1" ht="15.75" customHeight="1">
      <c r="A8" s="111"/>
      <c r="B8" s="352"/>
      <c r="C8" s="353"/>
      <c r="D8" s="353"/>
      <c r="E8" s="353"/>
      <c r="F8" s="353"/>
      <c r="G8" s="111"/>
      <c r="H8" s="146"/>
      <c r="I8" s="151"/>
      <c r="J8" s="15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1:22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1"/>
      <c r="H9" s="146"/>
      <c r="I9" s="151"/>
      <c r="J9" s="15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</row>
    <row r="10" spans="1:22" ht="17.100000000000001" customHeight="1">
      <c r="A10" s="106"/>
      <c r="B10" s="136" t="s">
        <v>3</v>
      </c>
      <c r="C10" s="168">
        <v>636880.65</v>
      </c>
      <c r="D10" s="138">
        <v>358179.72</v>
      </c>
      <c r="E10" s="138">
        <f>467985.07+2546.27</f>
        <v>470531.34</v>
      </c>
      <c r="F10" s="138">
        <f>SUM(C10:E10)</f>
        <v>1465591.71</v>
      </c>
      <c r="G10" s="106"/>
      <c r="H10" s="147"/>
      <c r="I10" s="152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ht="17.100000000000001" customHeight="1">
      <c r="A11" s="106"/>
      <c r="B11" s="114" t="s">
        <v>4</v>
      </c>
      <c r="C11" s="169">
        <v>405387.8</v>
      </c>
      <c r="D11" s="135">
        <v>227932.55</v>
      </c>
      <c r="E11" s="135">
        <v>452327.34</v>
      </c>
      <c r="F11" s="138">
        <f t="shared" ref="F11:F20" si="0">SUM(C11:E11)</f>
        <v>1085647.69</v>
      </c>
      <c r="G11" s="106"/>
      <c r="H11" s="147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</row>
    <row r="12" spans="1:22" ht="17.100000000000001" customHeight="1">
      <c r="A12" s="106"/>
      <c r="B12" s="114" t="s">
        <v>160</v>
      </c>
      <c r="C12" s="170">
        <v>126693.92</v>
      </c>
      <c r="D12" s="115">
        <v>126693.92</v>
      </c>
      <c r="E12" s="115">
        <v>126693.92</v>
      </c>
      <c r="F12" s="138">
        <f t="shared" si="0"/>
        <v>380081.76</v>
      </c>
      <c r="G12" s="106"/>
      <c r="H12" s="147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ht="17.100000000000001" customHeight="1">
      <c r="A13" s="106"/>
      <c r="B13" s="114" t="s">
        <v>6</v>
      </c>
      <c r="C13" s="171">
        <v>809918.94</v>
      </c>
      <c r="D13" s="115">
        <v>98226.79</v>
      </c>
      <c r="E13" s="115">
        <v>38967.99</v>
      </c>
      <c r="F13" s="138">
        <f t="shared" si="0"/>
        <v>947113.72</v>
      </c>
      <c r="H13" s="147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</row>
    <row r="14" spans="1:22" ht="17.100000000000001" customHeight="1">
      <c r="A14" s="106"/>
      <c r="B14" s="114" t="s">
        <v>161</v>
      </c>
      <c r="C14" s="171">
        <v>55252.6</v>
      </c>
      <c r="D14" s="115">
        <v>54884.88</v>
      </c>
      <c r="E14" s="115">
        <v>54487.12</v>
      </c>
      <c r="F14" s="138">
        <f t="shared" si="0"/>
        <v>164624.6</v>
      </c>
      <c r="G14" s="106"/>
      <c r="H14" s="147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</row>
    <row r="15" spans="1:22" ht="17.100000000000001" customHeight="1">
      <c r="A15" s="106"/>
      <c r="B15" s="114" t="s">
        <v>154</v>
      </c>
      <c r="C15" s="171">
        <v>0</v>
      </c>
      <c r="D15" s="115">
        <v>0</v>
      </c>
      <c r="E15" s="115">
        <v>23811.51</v>
      </c>
      <c r="F15" s="138">
        <f t="shared" si="0"/>
        <v>23811.51</v>
      </c>
      <c r="G15" s="106"/>
      <c r="H15" s="147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</row>
    <row r="16" spans="1:22" ht="17.100000000000001" customHeight="1">
      <c r="A16" s="106"/>
      <c r="B16" s="114" t="s">
        <v>162</v>
      </c>
      <c r="C16" s="171">
        <v>11980.7</v>
      </c>
      <c r="D16" s="115">
        <v>11840.9</v>
      </c>
      <c r="E16" s="115">
        <v>11697.01</v>
      </c>
      <c r="F16" s="138">
        <f t="shared" si="0"/>
        <v>35518.61</v>
      </c>
      <c r="G16" s="106"/>
      <c r="H16" s="147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</row>
    <row r="17" spans="1:22" ht="17.100000000000001" customHeight="1">
      <c r="A17" s="106"/>
      <c r="B17" s="114" t="s">
        <v>163</v>
      </c>
      <c r="C17" s="171">
        <v>4994.8</v>
      </c>
      <c r="D17" s="115">
        <v>4936.5200000000004</v>
      </c>
      <c r="E17" s="115">
        <v>4876.53</v>
      </c>
      <c r="F17" s="138">
        <f t="shared" si="0"/>
        <v>14807.849999999999</v>
      </c>
      <c r="G17" s="106"/>
      <c r="H17" s="147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7.100000000000001" customHeight="1">
      <c r="A18" s="106"/>
      <c r="B18" s="114" t="s">
        <v>164</v>
      </c>
      <c r="C18" s="171">
        <v>17111.64</v>
      </c>
      <c r="D18" s="115">
        <v>17026.22</v>
      </c>
      <c r="E18" s="115">
        <v>16706.07</v>
      </c>
      <c r="F18" s="138">
        <f t="shared" si="0"/>
        <v>50843.93</v>
      </c>
      <c r="G18" s="106"/>
      <c r="H18" s="147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</row>
    <row r="19" spans="1:22" ht="17.100000000000001" customHeight="1">
      <c r="A19" s="106"/>
      <c r="B19" s="114" t="s">
        <v>7</v>
      </c>
      <c r="C19" s="171">
        <v>11242.71</v>
      </c>
      <c r="D19" s="115">
        <v>0</v>
      </c>
      <c r="E19" s="115">
        <v>0</v>
      </c>
      <c r="F19" s="138">
        <f t="shared" si="0"/>
        <v>11242.71</v>
      </c>
      <c r="G19" s="106"/>
      <c r="H19" s="147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</row>
    <row r="20" spans="1:22" ht="17.100000000000001" customHeight="1">
      <c r="A20" s="106"/>
      <c r="B20" s="114" t="s">
        <v>149</v>
      </c>
      <c r="C20" s="171">
        <v>15557.47</v>
      </c>
      <c r="D20" s="115">
        <v>1168.1199999999999</v>
      </c>
      <c r="E20" s="115">
        <v>3231.48</v>
      </c>
      <c r="F20" s="138">
        <f t="shared" si="0"/>
        <v>19957.07</v>
      </c>
      <c r="G20" s="106"/>
      <c r="H20" s="147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</row>
    <row r="21" spans="1:22" s="112" customFormat="1" ht="15.75" customHeight="1">
      <c r="A21" s="111"/>
      <c r="B21" s="116" t="s">
        <v>9</v>
      </c>
      <c r="C21" s="117">
        <f>SUM(C10:C20)</f>
        <v>2095021.2299999997</v>
      </c>
      <c r="D21" s="117">
        <f>SUM(D10:D20)</f>
        <v>900889.62000000011</v>
      </c>
      <c r="E21" s="117">
        <f>SUM(E10:E20)</f>
        <v>1203330.3100000003</v>
      </c>
      <c r="F21" s="117">
        <f>SUM(F10:F20)</f>
        <v>4199241.16</v>
      </c>
      <c r="G21" s="111"/>
      <c r="H21" s="146"/>
      <c r="I21" s="151"/>
      <c r="J21" s="15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</row>
    <row r="22" spans="1:22" ht="15.75" customHeight="1">
      <c r="A22" s="106"/>
      <c r="B22" s="106"/>
      <c r="C22" s="106"/>
      <c r="D22" s="109"/>
      <c r="E22" s="109"/>
      <c r="F22" s="109"/>
      <c r="G22" s="106"/>
      <c r="H22" s="147" t="s">
        <v>118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2" s="112" customFormat="1" ht="15.75" customHeight="1">
      <c r="A23" s="111"/>
      <c r="B23" s="350" t="s">
        <v>128</v>
      </c>
      <c r="C23" s="351"/>
      <c r="D23" s="351"/>
      <c r="E23" s="351"/>
      <c r="F23" s="351"/>
      <c r="G23" s="111"/>
      <c r="H23" s="146"/>
      <c r="I23" s="151"/>
      <c r="J23" s="15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</row>
    <row r="24" spans="1:22" ht="15.75" customHeight="1">
      <c r="A24" s="106"/>
      <c r="B24" s="352"/>
      <c r="C24" s="353"/>
      <c r="D24" s="353"/>
      <c r="E24" s="353"/>
      <c r="F24" s="353"/>
      <c r="G24" s="106"/>
      <c r="H24" s="147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2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06"/>
      <c r="H25" s="147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</row>
    <row r="26" spans="1:22" ht="17.100000000000001" customHeight="1">
      <c r="A26" s="106"/>
      <c r="B26" s="114" t="s">
        <v>165</v>
      </c>
      <c r="C26" s="179">
        <v>542075.24</v>
      </c>
      <c r="D26" s="189">
        <v>495470.49</v>
      </c>
      <c r="E26" s="115">
        <v>487626.13</v>
      </c>
      <c r="F26" s="115">
        <f>SUM(C26:E26)</f>
        <v>1525171.8599999999</v>
      </c>
      <c r="G26" s="106"/>
      <c r="H26" s="147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2" ht="17.100000000000001" customHeight="1">
      <c r="A27" s="106"/>
      <c r="B27" s="114" t="s">
        <v>150</v>
      </c>
      <c r="C27" s="179">
        <v>64945.72</v>
      </c>
      <c r="D27" s="189">
        <v>63584.02</v>
      </c>
      <c r="E27" s="115">
        <v>65481.06</v>
      </c>
      <c r="F27" s="115">
        <f t="shared" ref="F27:F30" si="1">SUM(C27:E27)</f>
        <v>194010.8</v>
      </c>
      <c r="G27" s="106"/>
      <c r="H27" s="147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</row>
    <row r="28" spans="1:22" ht="17.100000000000001" customHeight="1">
      <c r="A28" s="106"/>
      <c r="B28" s="114" t="s">
        <v>129</v>
      </c>
      <c r="C28" s="191">
        <v>24052.01</v>
      </c>
      <c r="D28" s="190">
        <v>21886.080000000002</v>
      </c>
      <c r="E28" s="119">
        <v>17676.18</v>
      </c>
      <c r="F28" s="115">
        <f t="shared" si="1"/>
        <v>63614.27</v>
      </c>
      <c r="G28" s="106"/>
      <c r="H28" s="147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</row>
    <row r="29" spans="1:22" ht="17.100000000000001" customHeight="1">
      <c r="A29" s="106"/>
      <c r="B29" s="114" t="s">
        <v>13</v>
      </c>
      <c r="C29" s="179">
        <v>0</v>
      </c>
      <c r="D29" s="189">
        <v>0</v>
      </c>
      <c r="E29" s="115">
        <v>0</v>
      </c>
      <c r="F29" s="115">
        <f t="shared" si="1"/>
        <v>0</v>
      </c>
      <c r="G29" s="106"/>
      <c r="H29" s="147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</row>
    <row r="30" spans="1:22" ht="17.100000000000001" customHeight="1">
      <c r="A30" s="106"/>
      <c r="B30" s="114" t="s">
        <v>130</v>
      </c>
      <c r="C30" s="191">
        <v>22252.83</v>
      </c>
      <c r="D30" s="190">
        <v>14595.13</v>
      </c>
      <c r="E30" s="119">
        <v>7086.12</v>
      </c>
      <c r="F30" s="115">
        <f t="shared" si="1"/>
        <v>43934.080000000002</v>
      </c>
      <c r="G30" s="106"/>
      <c r="H30" s="147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</row>
    <row r="31" spans="1:22" s="112" customFormat="1" ht="17.100000000000001" customHeight="1">
      <c r="A31" s="111"/>
      <c r="B31" s="120" t="s">
        <v>84</v>
      </c>
      <c r="C31" s="121">
        <f>SUM(C26:C30)</f>
        <v>653325.79999999993</v>
      </c>
      <c r="D31" s="121">
        <f>SUM(D26:D30)</f>
        <v>595535.72</v>
      </c>
      <c r="E31" s="121">
        <f>SUM(E26:E30)</f>
        <v>577869.49</v>
      </c>
      <c r="F31" s="121">
        <f>SUM(F26:F30)</f>
        <v>1826731.01</v>
      </c>
      <c r="G31" s="111"/>
      <c r="H31" s="146"/>
      <c r="I31" s="151"/>
      <c r="J31" s="15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</row>
    <row r="32" spans="1:22" s="112" customFormat="1" ht="17.100000000000001" customHeight="1">
      <c r="A32" s="111"/>
      <c r="B32" s="163" t="s">
        <v>14</v>
      </c>
      <c r="C32" s="164">
        <f>C21-C31</f>
        <v>1441695.4299999997</v>
      </c>
      <c r="D32" s="164">
        <f>D21-D31</f>
        <v>305353.90000000014</v>
      </c>
      <c r="E32" s="164">
        <f>E21-E31</f>
        <v>625460.8200000003</v>
      </c>
      <c r="F32" s="159">
        <f>F21-F31</f>
        <v>2372510.1500000004</v>
      </c>
      <c r="G32" s="111"/>
      <c r="H32" s="146"/>
      <c r="I32" s="151"/>
      <c r="J32" s="15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</row>
    <row r="33" spans="1:22" ht="15.75" customHeight="1">
      <c r="A33" s="106"/>
      <c r="B33" s="106"/>
      <c r="C33" s="106"/>
      <c r="D33" s="109"/>
      <c r="E33" s="109"/>
      <c r="F33" s="109"/>
      <c r="G33" s="106"/>
      <c r="H33" s="147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s="112" customFormat="1" ht="15.75" customHeight="1">
      <c r="A34" s="111"/>
      <c r="B34" s="362" t="s">
        <v>15</v>
      </c>
      <c r="C34" s="363"/>
      <c r="D34" s="363"/>
      <c r="E34" s="363"/>
      <c r="F34" s="364"/>
      <c r="G34" s="111"/>
      <c r="H34" s="146"/>
      <c r="I34" s="151"/>
      <c r="J34" s="15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</row>
    <row r="35" spans="1:22" s="112" customFormat="1" ht="15.75" customHeight="1">
      <c r="A35" s="111"/>
      <c r="B35" s="350" t="s">
        <v>16</v>
      </c>
      <c r="C35" s="351"/>
      <c r="D35" s="351"/>
      <c r="E35" s="351"/>
      <c r="F35" s="365"/>
      <c r="G35" s="111"/>
      <c r="H35" s="146"/>
      <c r="I35" s="151"/>
      <c r="J35" s="15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</row>
    <row r="36" spans="1:22" ht="15.75" customHeight="1">
      <c r="A36" s="106"/>
      <c r="B36" s="352"/>
      <c r="C36" s="353"/>
      <c r="D36" s="353"/>
      <c r="E36" s="353"/>
      <c r="F36" s="366"/>
      <c r="G36" s="106"/>
      <c r="H36" s="147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ht="15.75" customHeight="1">
      <c r="A37" s="106"/>
      <c r="B37" s="153" t="s">
        <v>17</v>
      </c>
      <c r="C37" s="165"/>
      <c r="D37" s="154"/>
      <c r="E37" s="154"/>
      <c r="F37" s="130" t="s">
        <v>2</v>
      </c>
      <c r="G37" s="147"/>
      <c r="H37" s="151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</row>
    <row r="38" spans="1:22" ht="15.75" customHeight="1">
      <c r="A38" s="106"/>
      <c r="B38" s="136" t="s">
        <v>18</v>
      </c>
      <c r="C38" s="166"/>
      <c r="D38" s="155"/>
      <c r="E38" s="155"/>
      <c r="F38" s="161">
        <v>0</v>
      </c>
      <c r="G38" s="147"/>
      <c r="H38" s="151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</row>
    <row r="39" spans="1:22" ht="15.75" customHeight="1">
      <c r="A39" s="106"/>
      <c r="B39" s="136" t="s">
        <v>19</v>
      </c>
      <c r="C39" s="166"/>
      <c r="D39" s="155"/>
      <c r="E39" s="155"/>
      <c r="F39" s="161">
        <v>941.38</v>
      </c>
      <c r="G39" s="147"/>
      <c r="H39" s="151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</row>
    <row r="40" spans="1:22" ht="15.75" customHeight="1">
      <c r="A40" s="106"/>
      <c r="B40" s="136" t="s">
        <v>132</v>
      </c>
      <c r="C40" s="166"/>
      <c r="D40" s="155"/>
      <c r="E40" s="155"/>
      <c r="F40" s="161">
        <v>0</v>
      </c>
      <c r="G40" s="147"/>
      <c r="H40" s="151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1:22" ht="15.75" customHeight="1">
      <c r="A41" s="106"/>
      <c r="B41" s="136" t="s">
        <v>20</v>
      </c>
      <c r="C41" s="166"/>
      <c r="D41" s="155"/>
      <c r="E41" s="155"/>
      <c r="F41" s="161">
        <v>111504.32000000001</v>
      </c>
      <c r="G41" s="147"/>
      <c r="H41" s="151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</row>
    <row r="42" spans="1:22" ht="15.75" customHeight="1">
      <c r="A42" s="106"/>
      <c r="B42" s="136" t="s">
        <v>21</v>
      </c>
      <c r="C42" s="166"/>
      <c r="D42" s="155"/>
      <c r="E42" s="155"/>
      <c r="F42" s="161">
        <v>22386.59</v>
      </c>
      <c r="G42" s="147"/>
      <c r="H42" s="151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</row>
    <row r="43" spans="1:22" ht="15.75" customHeight="1">
      <c r="A43" s="106"/>
      <c r="B43" s="136" t="s">
        <v>22</v>
      </c>
      <c r="C43" s="166"/>
      <c r="D43" s="155"/>
      <c r="E43" s="155"/>
      <c r="F43" s="161">
        <v>490.32</v>
      </c>
      <c r="G43" s="147"/>
      <c r="H43" s="151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</row>
    <row r="44" spans="1:22" ht="15.75" customHeight="1">
      <c r="A44" s="106"/>
      <c r="B44" s="153" t="s">
        <v>23</v>
      </c>
      <c r="C44" s="165"/>
      <c r="D44" s="154"/>
      <c r="E44" s="154"/>
      <c r="F44" s="160">
        <f>SUM(F38:F43)</f>
        <v>135322.61000000002</v>
      </c>
      <c r="G44" s="147"/>
      <c r="H44" s="151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1:22" ht="15.75" customHeight="1">
      <c r="A45" s="106"/>
      <c r="B45" s="157"/>
      <c r="C45" s="106"/>
      <c r="D45" s="150"/>
      <c r="E45" s="150"/>
      <c r="F45" s="150"/>
      <c r="G45" s="147"/>
      <c r="H45" s="151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</row>
    <row r="46" spans="1:22" ht="15.75" customHeight="1">
      <c r="A46" s="106"/>
      <c r="B46" s="153" t="s">
        <v>24</v>
      </c>
      <c r="C46" s="165"/>
      <c r="D46" s="154"/>
      <c r="E46" s="154"/>
      <c r="F46" s="130" t="s">
        <v>2</v>
      </c>
      <c r="G46" s="147"/>
      <c r="H46" s="151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</row>
    <row r="47" spans="1:22" ht="15.75" customHeight="1">
      <c r="A47" s="106"/>
      <c r="B47" s="136" t="s">
        <v>25</v>
      </c>
      <c r="C47" s="166"/>
      <c r="D47" s="155"/>
      <c r="E47" s="155"/>
      <c r="F47" s="161">
        <v>37991731.82</v>
      </c>
      <c r="G47" s="148"/>
      <c r="H47" s="151"/>
      <c r="J47" s="108"/>
    </row>
    <row r="48" spans="1:22" ht="15.75" customHeight="1">
      <c r="B48" s="136" t="s">
        <v>26</v>
      </c>
      <c r="C48" s="166"/>
      <c r="D48" s="155"/>
      <c r="E48" s="155"/>
      <c r="F48" s="161">
        <v>12150735.119999999</v>
      </c>
      <c r="G48" s="148"/>
      <c r="H48" s="151"/>
      <c r="J48" s="108"/>
    </row>
    <row r="49" spans="2:10" ht="15.75" customHeight="1">
      <c r="B49" s="136" t="s">
        <v>27</v>
      </c>
      <c r="C49" s="166"/>
      <c r="D49" s="155"/>
      <c r="E49" s="155"/>
      <c r="F49" s="161">
        <v>0</v>
      </c>
      <c r="G49" s="148"/>
      <c r="H49" s="151"/>
      <c r="J49" s="108"/>
    </row>
    <row r="50" spans="2:10" ht="15.75" customHeight="1">
      <c r="B50" s="136" t="s">
        <v>131</v>
      </c>
      <c r="C50" s="166"/>
      <c r="D50" s="155"/>
      <c r="E50" s="155"/>
      <c r="F50" s="161">
        <v>253219.44</v>
      </c>
      <c r="G50" s="148"/>
      <c r="H50" s="151"/>
      <c r="J50" s="108"/>
    </row>
    <row r="51" spans="2:10" ht="15.75" customHeight="1">
      <c r="B51" s="153" t="s">
        <v>28</v>
      </c>
      <c r="C51" s="165"/>
      <c r="D51" s="154"/>
      <c r="E51" s="154"/>
      <c r="F51" s="160">
        <f>SUM(F47:F50)-F44</f>
        <v>50260363.769999996</v>
      </c>
      <c r="G51" s="148"/>
      <c r="H51" s="151"/>
      <c r="J51" s="108"/>
    </row>
    <row r="52" spans="2:10" ht="15.75" customHeight="1">
      <c r="B52" s="158"/>
      <c r="C52" s="131"/>
      <c r="D52" s="132"/>
      <c r="E52" s="132"/>
      <c r="F52" s="155"/>
      <c r="G52" s="148"/>
      <c r="H52" s="151"/>
      <c r="J52" s="108"/>
    </row>
    <row r="53" spans="2:10" ht="15.75" customHeight="1">
      <c r="B53" s="133" t="s">
        <v>29</v>
      </c>
      <c r="C53" s="167"/>
      <c r="D53" s="156"/>
      <c r="E53" s="156"/>
      <c r="F53" s="162">
        <f>F51+F44</f>
        <v>50395686.379999995</v>
      </c>
      <c r="G53" s="148"/>
      <c r="H53" s="151"/>
      <c r="J53" s="108"/>
    </row>
    <row r="54" spans="2:10" ht="15.75" customHeight="1">
      <c r="B54" s="106"/>
      <c r="C54" s="106"/>
      <c r="D54" s="109"/>
      <c r="E54" s="109"/>
      <c r="F54" s="109"/>
    </row>
    <row r="55" spans="2:10" ht="15.75" customHeight="1">
      <c r="B55" s="106"/>
      <c r="C55" s="106"/>
      <c r="D55" s="109"/>
      <c r="E55" s="109"/>
      <c r="F55" s="109"/>
    </row>
    <row r="56" spans="2:10" ht="15.75" customHeight="1">
      <c r="B56" s="106"/>
      <c r="C56" s="106"/>
      <c r="D56" s="109"/>
      <c r="E56" s="109"/>
      <c r="F56" s="109"/>
    </row>
    <row r="57" spans="2:10" ht="15.75" customHeight="1">
      <c r="B57" s="106"/>
      <c r="C57" s="106"/>
      <c r="D57" s="109"/>
      <c r="E57" s="109"/>
      <c r="F57" s="109"/>
    </row>
    <row r="58" spans="2:10" ht="15.75" customHeight="1">
      <c r="B58" s="106"/>
      <c r="C58" s="106"/>
      <c r="D58" s="109"/>
      <c r="E58" s="109"/>
      <c r="F58" s="109"/>
    </row>
    <row r="59" spans="2:10" ht="15.75" customHeight="1">
      <c r="B59" s="106"/>
      <c r="C59" s="106"/>
      <c r="D59" s="106"/>
      <c r="E59" s="106"/>
    </row>
    <row r="60" spans="2:10" ht="15.75" customHeight="1">
      <c r="B60" s="106"/>
      <c r="C60" s="106"/>
      <c r="D60" s="106"/>
      <c r="E60" s="106"/>
    </row>
    <row r="61" spans="2:10" ht="15.75" customHeight="1">
      <c r="B61" s="106"/>
      <c r="C61" s="106"/>
      <c r="D61" s="106"/>
      <c r="E61" s="106"/>
    </row>
  </sheetData>
  <mergeCells count="4">
    <mergeCell ref="B7:F8"/>
    <mergeCell ref="B23:F24"/>
    <mergeCell ref="B34:F34"/>
    <mergeCell ref="B35:F36"/>
  </mergeCells>
  <pageMargins left="0.78740157480314954" right="0.78740157480314954" top="1.1811023622047245" bottom="1.1811023622047245" header="0.78740157480314954" footer="0.78740157480314954"/>
  <pageSetup paperSize="9" scale="26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61"/>
  <sheetViews>
    <sheetView showGridLines="0" workbookViewId="0">
      <selection activeCell="D26" sqref="D26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8.7109375" style="108" bestFit="1" customWidth="1"/>
    <col min="4" max="4" width="21.42578125" style="108" customWidth="1"/>
    <col min="5" max="7" width="20" style="108" bestFit="1" customWidth="1"/>
    <col min="8" max="8" width="6.85546875" style="108" customWidth="1"/>
    <col min="9" max="9" width="18.42578125" style="148" bestFit="1" customWidth="1"/>
    <col min="10" max="10" width="14.7109375" style="151" bestFit="1" customWidth="1"/>
    <col min="11" max="11" width="13.5703125" style="151" bestFit="1" customWidth="1"/>
    <col min="12" max="23" width="9.5703125" style="108" customWidth="1"/>
    <col min="24" max="1027" width="9.42578125" style="108" customWidth="1"/>
    <col min="1028" max="16384" width="9.140625" style="108"/>
  </cols>
  <sheetData>
    <row r="1" spans="1:23" ht="15.75" customHeight="1">
      <c r="A1" s="106" t="s">
        <v>118</v>
      </c>
      <c r="B1" s="106"/>
      <c r="C1" s="106"/>
      <c r="D1" s="106"/>
      <c r="E1" s="109"/>
      <c r="F1" s="109"/>
      <c r="G1" s="109"/>
      <c r="H1" s="106"/>
      <c r="I1" s="144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15.75" customHeight="1">
      <c r="A2" s="106"/>
      <c r="B2" s="106"/>
      <c r="C2" s="106"/>
      <c r="D2" s="106"/>
      <c r="E2" s="109"/>
      <c r="F2" s="109"/>
      <c r="G2" s="109"/>
      <c r="H2" s="106"/>
      <c r="I2" s="144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15.75" customHeight="1">
      <c r="A3" s="106"/>
      <c r="B3" s="106"/>
      <c r="C3" s="106"/>
      <c r="D3" s="106"/>
      <c r="E3" s="109"/>
      <c r="F3" s="109"/>
      <c r="G3" s="109"/>
      <c r="H3" s="106"/>
      <c r="I3" s="144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3" ht="15.75" customHeight="1">
      <c r="A4" s="106"/>
      <c r="B4" s="106"/>
      <c r="C4" s="106"/>
      <c r="D4" s="106"/>
      <c r="E4" s="109"/>
      <c r="F4" s="109"/>
      <c r="G4" s="109"/>
      <c r="H4" s="106"/>
      <c r="I4" s="144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ht="15.75" customHeight="1">
      <c r="A5" s="106"/>
      <c r="B5" s="106"/>
      <c r="C5" s="106"/>
      <c r="D5" s="106"/>
      <c r="E5" s="109"/>
      <c r="F5" s="109"/>
      <c r="G5" s="109"/>
      <c r="H5" s="106"/>
      <c r="I5" s="144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s="141" customFormat="1" ht="24.95" customHeight="1">
      <c r="A6" s="140"/>
      <c r="B6" s="139" t="s">
        <v>0</v>
      </c>
      <c r="C6" s="139" t="s">
        <v>53</v>
      </c>
      <c r="D6" s="139" t="s">
        <v>44</v>
      </c>
      <c r="E6" s="139" t="s">
        <v>151</v>
      </c>
      <c r="F6" s="139" t="s">
        <v>31</v>
      </c>
      <c r="G6" s="139">
        <v>2022</v>
      </c>
      <c r="H6" s="140"/>
      <c r="I6" s="145"/>
      <c r="J6" s="151"/>
      <c r="K6" s="151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 s="112" customFormat="1" ht="15.75" customHeight="1">
      <c r="A7" s="111"/>
      <c r="B7" s="350" t="s">
        <v>127</v>
      </c>
      <c r="C7" s="351"/>
      <c r="D7" s="351"/>
      <c r="E7" s="351"/>
      <c r="F7" s="351"/>
      <c r="G7" s="351"/>
      <c r="H7" s="111"/>
      <c r="I7" s="146"/>
      <c r="J7" s="151"/>
      <c r="K7" s="15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</row>
    <row r="8" spans="1:23" s="142" customFormat="1" ht="15.75" customHeight="1">
      <c r="A8" s="111"/>
      <c r="B8" s="352"/>
      <c r="C8" s="353"/>
      <c r="D8" s="353"/>
      <c r="E8" s="353"/>
      <c r="F8" s="353"/>
      <c r="G8" s="353"/>
      <c r="H8" s="111"/>
      <c r="I8" s="146"/>
      <c r="J8" s="151"/>
      <c r="K8" s="15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1:23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1"/>
      <c r="I9" s="146"/>
      <c r="J9" s="151"/>
      <c r="K9" s="15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ht="17.100000000000001" customHeight="1">
      <c r="A10" s="106"/>
      <c r="B10" s="136" t="s">
        <v>3</v>
      </c>
      <c r="C10" s="168">
        <v>535990.88</v>
      </c>
      <c r="D10" s="168">
        <v>636880.65</v>
      </c>
      <c r="E10" s="138">
        <v>358179.72</v>
      </c>
      <c r="F10" s="138">
        <f>467985.07+2546.27</f>
        <v>470531.34</v>
      </c>
      <c r="G10" s="138">
        <f>SUM(C10:F10)</f>
        <v>2001582.59</v>
      </c>
      <c r="H10" s="106"/>
      <c r="I10" s="147"/>
      <c r="J10" s="152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ht="17.100000000000001" customHeight="1">
      <c r="A11" s="106"/>
      <c r="B11" s="114" t="s">
        <v>4</v>
      </c>
      <c r="C11" s="169">
        <v>189358.6</v>
      </c>
      <c r="D11" s="169">
        <v>405387.8</v>
      </c>
      <c r="E11" s="135">
        <v>227932.55</v>
      </c>
      <c r="F11" s="135">
        <v>452327.34</v>
      </c>
      <c r="G11" s="138">
        <f t="shared" ref="G11:G20" si="0">SUM(C11:F11)</f>
        <v>1275006.29</v>
      </c>
      <c r="H11" s="106"/>
      <c r="I11" s="147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ht="17.100000000000001" customHeight="1">
      <c r="A12" s="106"/>
      <c r="B12" s="114" t="s">
        <v>186</v>
      </c>
      <c r="C12" s="171">
        <v>126693.92</v>
      </c>
      <c r="D12" s="170">
        <v>126693.92</v>
      </c>
      <c r="E12" s="115">
        <v>126693.92</v>
      </c>
      <c r="F12" s="115">
        <v>126693.92</v>
      </c>
      <c r="G12" s="138">
        <f t="shared" si="0"/>
        <v>506775.68</v>
      </c>
      <c r="H12" s="106"/>
      <c r="I12" s="147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1:23" ht="17.100000000000001" customHeight="1">
      <c r="A13" s="106"/>
      <c r="B13" s="114" t="s">
        <v>6</v>
      </c>
      <c r="C13" s="171">
        <v>16001.38</v>
      </c>
      <c r="D13" s="171">
        <v>809918.94</v>
      </c>
      <c r="E13" s="115">
        <v>98226.79</v>
      </c>
      <c r="F13" s="115">
        <v>38967.99</v>
      </c>
      <c r="G13" s="138">
        <f t="shared" si="0"/>
        <v>963115.1</v>
      </c>
      <c r="I13" s="147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</row>
    <row r="14" spans="1:23" ht="17.100000000000001" customHeight="1">
      <c r="A14" s="106"/>
      <c r="B14" s="114" t="s">
        <v>167</v>
      </c>
      <c r="C14" s="171">
        <v>55805.13</v>
      </c>
      <c r="D14" s="171">
        <v>55252.6</v>
      </c>
      <c r="E14" s="115">
        <v>54884.88</v>
      </c>
      <c r="F14" s="115">
        <v>54487.12</v>
      </c>
      <c r="G14" s="138">
        <f t="shared" si="0"/>
        <v>220429.72999999998</v>
      </c>
      <c r="H14" s="106"/>
      <c r="I14" s="147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</row>
    <row r="15" spans="1:23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15">
        <v>23811.51</v>
      </c>
      <c r="G15" s="138">
        <f t="shared" si="0"/>
        <v>23811.51</v>
      </c>
      <c r="H15" s="106"/>
      <c r="I15" s="147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</row>
    <row r="16" spans="1:23" ht="17.100000000000001" customHeight="1">
      <c r="A16" s="106"/>
      <c r="B16" s="114" t="s">
        <v>168</v>
      </c>
      <c r="C16" s="171">
        <v>12368.92</v>
      </c>
      <c r="D16" s="171">
        <v>11980.7</v>
      </c>
      <c r="E16" s="115">
        <v>11840.9</v>
      </c>
      <c r="F16" s="115">
        <v>11697.01</v>
      </c>
      <c r="G16" s="138">
        <f t="shared" si="0"/>
        <v>47887.530000000006</v>
      </c>
      <c r="H16" s="106"/>
      <c r="I16" s="147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3" ht="17.100000000000001" customHeight="1">
      <c r="A17" s="106"/>
      <c r="B17" s="114" t="s">
        <v>169</v>
      </c>
      <c r="C17" s="171">
        <v>5156.6499999999996</v>
      </c>
      <c r="D17" s="171">
        <v>4994.8</v>
      </c>
      <c r="E17" s="115">
        <v>4936.5200000000004</v>
      </c>
      <c r="F17" s="115">
        <v>4876.53</v>
      </c>
      <c r="G17" s="138">
        <f t="shared" si="0"/>
        <v>19964.5</v>
      </c>
      <c r="H17" s="106"/>
      <c r="I17" s="147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</row>
    <row r="18" spans="1:23" ht="17.100000000000001" customHeight="1">
      <c r="A18" s="106"/>
      <c r="B18" s="114" t="s">
        <v>170</v>
      </c>
      <c r="C18" s="171">
        <v>17665.8</v>
      </c>
      <c r="D18" s="171">
        <v>17111.64</v>
      </c>
      <c r="E18" s="115">
        <v>17026.22</v>
      </c>
      <c r="F18" s="115">
        <v>16706.07</v>
      </c>
      <c r="G18" s="138">
        <f t="shared" si="0"/>
        <v>68509.73000000001</v>
      </c>
      <c r="H18" s="106"/>
      <c r="I18" s="147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</row>
    <row r="19" spans="1:23" ht="17.100000000000001" customHeight="1">
      <c r="A19" s="106"/>
      <c r="B19" s="114" t="s">
        <v>7</v>
      </c>
      <c r="C19" s="171">
        <v>82684.009999999995</v>
      </c>
      <c r="D19" s="171">
        <v>11242.71</v>
      </c>
      <c r="E19" s="115">
        <v>0</v>
      </c>
      <c r="F19" s="115">
        <v>0</v>
      </c>
      <c r="G19" s="138">
        <f t="shared" si="0"/>
        <v>93926.720000000001</v>
      </c>
      <c r="H19" s="106"/>
      <c r="I19" s="147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</row>
    <row r="20" spans="1:23" ht="17.100000000000001" customHeight="1">
      <c r="A20" s="106"/>
      <c r="B20" s="114" t="s">
        <v>149</v>
      </c>
      <c r="C20" s="171">
        <v>0</v>
      </c>
      <c r="D20" s="171">
        <v>15557.47</v>
      </c>
      <c r="E20" s="115">
        <v>1168.1199999999999</v>
      </c>
      <c r="F20" s="115">
        <v>3231.48</v>
      </c>
      <c r="G20" s="138">
        <f t="shared" si="0"/>
        <v>19957.07</v>
      </c>
      <c r="H20" s="106"/>
      <c r="I20" s="147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</row>
    <row r="21" spans="1:23" s="112" customFormat="1" ht="15.75" customHeight="1">
      <c r="A21" s="111"/>
      <c r="B21" s="116" t="s">
        <v>9</v>
      </c>
      <c r="C21" s="117">
        <f>SUM(C10:C20)</f>
        <v>1041725.2900000002</v>
      </c>
      <c r="D21" s="117">
        <f>SUM(D10:D20)</f>
        <v>2095021.2299999997</v>
      </c>
      <c r="E21" s="117">
        <f>SUM(E10:E20)</f>
        <v>900889.62000000011</v>
      </c>
      <c r="F21" s="117">
        <f>SUM(F10:F20)</f>
        <v>1203330.3100000003</v>
      </c>
      <c r="G21" s="117">
        <f>SUM(G10:G20)</f>
        <v>5240966.4500000011</v>
      </c>
      <c r="H21" s="111"/>
      <c r="I21" s="146"/>
      <c r="J21" s="151"/>
      <c r="K21" s="15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3" ht="15.75" customHeight="1">
      <c r="A22" s="106"/>
      <c r="B22" s="106"/>
      <c r="C22" s="106"/>
      <c r="D22" s="106"/>
      <c r="E22" s="109"/>
      <c r="F22" s="109"/>
      <c r="G22" s="109"/>
      <c r="H22" s="106"/>
      <c r="I22" s="147" t="s">
        <v>118</v>
      </c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</row>
    <row r="23" spans="1:23" s="112" customFormat="1" ht="15.75" customHeight="1">
      <c r="A23" s="111"/>
      <c r="B23" s="350" t="s">
        <v>128</v>
      </c>
      <c r="C23" s="351"/>
      <c r="D23" s="351"/>
      <c r="E23" s="351"/>
      <c r="F23" s="351"/>
      <c r="G23" s="351"/>
      <c r="H23" s="111"/>
      <c r="I23" s="146"/>
      <c r="J23" s="151"/>
      <c r="K23" s="15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pans="1:23" ht="15.75" customHeight="1">
      <c r="A24" s="106"/>
      <c r="B24" s="352"/>
      <c r="C24" s="353"/>
      <c r="D24" s="353"/>
      <c r="E24" s="353"/>
      <c r="F24" s="353"/>
      <c r="G24" s="353"/>
      <c r="H24" s="106"/>
      <c r="I24" s="147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</row>
    <row r="25" spans="1:23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06"/>
      <c r="I25" s="147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</row>
    <row r="26" spans="1:23" ht="17.100000000000001" customHeight="1">
      <c r="A26" s="106"/>
      <c r="B26" s="114" t="s">
        <v>172</v>
      </c>
      <c r="C26" s="179">
        <v>548127.35</v>
      </c>
      <c r="D26" s="179">
        <v>542075.24</v>
      </c>
      <c r="E26" s="189">
        <v>495470.49</v>
      </c>
      <c r="F26" s="115">
        <v>487626.13</v>
      </c>
      <c r="G26" s="115">
        <f>SUM(C26:F26)</f>
        <v>2073299.21</v>
      </c>
      <c r="H26" s="106"/>
      <c r="I26" s="147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</row>
    <row r="27" spans="1:23" ht="17.100000000000001" customHeight="1">
      <c r="A27" s="106"/>
      <c r="B27" s="114" t="s">
        <v>150</v>
      </c>
      <c r="C27" s="179">
        <v>64945.72</v>
      </c>
      <c r="D27" s="179">
        <v>64945.72</v>
      </c>
      <c r="E27" s="189">
        <v>63584.02</v>
      </c>
      <c r="F27" s="115">
        <v>65481.06</v>
      </c>
      <c r="G27" s="115">
        <f t="shared" ref="G27:G30" si="1">SUM(C27:F27)</f>
        <v>258956.52</v>
      </c>
      <c r="H27" s="106"/>
      <c r="I27" s="147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</row>
    <row r="28" spans="1:23" ht="17.100000000000001" customHeight="1">
      <c r="A28" s="106"/>
      <c r="B28" s="114" t="s">
        <v>171</v>
      </c>
      <c r="C28" s="191">
        <v>27034.39</v>
      </c>
      <c r="D28" s="191">
        <v>24052.01</v>
      </c>
      <c r="E28" s="190">
        <v>21886.080000000002</v>
      </c>
      <c r="F28" s="119">
        <v>17676.18</v>
      </c>
      <c r="G28" s="115">
        <f t="shared" si="1"/>
        <v>90648.66</v>
      </c>
      <c r="H28" s="106"/>
      <c r="I28" s="147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</row>
    <row r="29" spans="1:23" ht="17.100000000000001" customHeight="1">
      <c r="A29" s="106"/>
      <c r="B29" s="114" t="s">
        <v>13</v>
      </c>
      <c r="C29" s="179">
        <v>0</v>
      </c>
      <c r="D29" s="179">
        <v>0</v>
      </c>
      <c r="E29" s="189">
        <v>0</v>
      </c>
      <c r="F29" s="115">
        <v>0</v>
      </c>
      <c r="G29" s="115">
        <f t="shared" si="1"/>
        <v>0</v>
      </c>
      <c r="H29" s="106"/>
      <c r="I29" s="147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</row>
    <row r="30" spans="1:23" ht="17.100000000000001" customHeight="1">
      <c r="A30" s="106"/>
      <c r="B30" s="114" t="s">
        <v>130</v>
      </c>
      <c r="C30" s="191">
        <v>55560.09</v>
      </c>
      <c r="D30" s="191">
        <v>22252.83</v>
      </c>
      <c r="E30" s="190">
        <v>14595.13</v>
      </c>
      <c r="F30" s="119">
        <v>7086.12</v>
      </c>
      <c r="G30" s="115">
        <f t="shared" si="1"/>
        <v>99494.17</v>
      </c>
      <c r="H30" s="106"/>
      <c r="I30" s="147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</row>
    <row r="31" spans="1:23" s="112" customFormat="1" ht="17.100000000000001" customHeight="1">
      <c r="A31" s="111"/>
      <c r="B31" s="120" t="s">
        <v>84</v>
      </c>
      <c r="C31" s="121">
        <f>SUM(C26:C30)</f>
        <v>695667.54999999993</v>
      </c>
      <c r="D31" s="121">
        <f>SUM(D26:D30)</f>
        <v>653325.79999999993</v>
      </c>
      <c r="E31" s="121">
        <f>SUM(E26:E30)</f>
        <v>595535.72</v>
      </c>
      <c r="F31" s="121">
        <f>SUM(F26:F30)</f>
        <v>577869.49</v>
      </c>
      <c r="G31" s="121">
        <f>SUM(G26:G30)</f>
        <v>2522398.56</v>
      </c>
      <c r="H31" s="111"/>
      <c r="I31" s="146"/>
      <c r="J31" s="151"/>
      <c r="K31" s="15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</row>
    <row r="32" spans="1:23" s="112" customFormat="1" ht="17.100000000000001" customHeight="1">
      <c r="A32" s="111"/>
      <c r="B32" s="163" t="s">
        <v>14</v>
      </c>
      <c r="C32" s="164">
        <f>C21-C31</f>
        <v>346057.74000000022</v>
      </c>
      <c r="D32" s="164">
        <f>D21-D31</f>
        <v>1441695.4299999997</v>
      </c>
      <c r="E32" s="164">
        <f>E21-E31</f>
        <v>305353.90000000014</v>
      </c>
      <c r="F32" s="164">
        <f>F21-F31</f>
        <v>625460.8200000003</v>
      </c>
      <c r="G32" s="159">
        <f>G21-G31</f>
        <v>2718567.8900000011</v>
      </c>
      <c r="H32" s="111"/>
      <c r="I32" s="146"/>
      <c r="J32" s="151"/>
      <c r="K32" s="15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</row>
    <row r="33" spans="1:23" ht="15.75" customHeight="1">
      <c r="A33" s="106"/>
      <c r="B33" s="106"/>
      <c r="C33" s="106"/>
      <c r="D33" s="106"/>
      <c r="E33" s="109"/>
      <c r="F33" s="109"/>
      <c r="G33" s="109"/>
      <c r="H33" s="106"/>
      <c r="I33" s="147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</row>
    <row r="34" spans="1:23" s="112" customFormat="1" ht="15.75" customHeight="1">
      <c r="A34" s="111"/>
      <c r="B34" s="362" t="s">
        <v>15</v>
      </c>
      <c r="C34" s="363"/>
      <c r="D34" s="363"/>
      <c r="E34" s="363"/>
      <c r="F34" s="363"/>
      <c r="G34" s="364"/>
      <c r="H34" s="111"/>
      <c r="I34" s="146"/>
      <c r="J34" s="151"/>
      <c r="K34" s="15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</row>
    <row r="35" spans="1:23" s="112" customFormat="1" ht="15.75" customHeight="1">
      <c r="A35" s="111"/>
      <c r="B35" s="350" t="s">
        <v>16</v>
      </c>
      <c r="C35" s="351"/>
      <c r="D35" s="351"/>
      <c r="E35" s="351"/>
      <c r="F35" s="351"/>
      <c r="G35" s="365"/>
      <c r="H35" s="111"/>
      <c r="I35" s="146"/>
      <c r="J35" s="151"/>
      <c r="K35" s="15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</row>
    <row r="36" spans="1:23" ht="15.75" customHeight="1">
      <c r="A36" s="106"/>
      <c r="B36" s="352"/>
      <c r="C36" s="353"/>
      <c r="D36" s="353"/>
      <c r="E36" s="353"/>
      <c r="F36" s="353"/>
      <c r="G36" s="366"/>
      <c r="H36" s="106"/>
      <c r="I36" s="147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</row>
    <row r="37" spans="1:23" ht="15.75" customHeight="1">
      <c r="A37" s="106"/>
      <c r="B37" s="153" t="s">
        <v>17</v>
      </c>
      <c r="C37" s="165"/>
      <c r="D37" s="165"/>
      <c r="E37" s="154"/>
      <c r="F37" s="154"/>
      <c r="G37" s="130" t="s">
        <v>2</v>
      </c>
      <c r="H37" s="147"/>
      <c r="I37" s="151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3" ht="15.75" customHeight="1">
      <c r="A38" s="106"/>
      <c r="B38" s="136" t="s">
        <v>18</v>
      </c>
      <c r="C38" s="166"/>
      <c r="D38" s="166"/>
      <c r="E38" s="155"/>
      <c r="F38" s="155"/>
      <c r="G38" s="161">
        <v>0</v>
      </c>
      <c r="H38" s="147"/>
      <c r="I38" s="151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</row>
    <row r="39" spans="1:23" ht="15.75" customHeight="1">
      <c r="A39" s="106"/>
      <c r="B39" s="136" t="s">
        <v>19</v>
      </c>
      <c r="C39" s="166"/>
      <c r="D39" s="166"/>
      <c r="E39" s="155"/>
      <c r="F39" s="155"/>
      <c r="G39" s="161">
        <v>941.38</v>
      </c>
      <c r="H39" s="147"/>
      <c r="I39" s="151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:23" ht="15.75" customHeight="1">
      <c r="A40" s="106"/>
      <c r="B40" s="136" t="s">
        <v>132</v>
      </c>
      <c r="C40" s="166"/>
      <c r="D40" s="166"/>
      <c r="E40" s="155"/>
      <c r="F40" s="155"/>
      <c r="G40" s="161">
        <v>0</v>
      </c>
      <c r="H40" s="147"/>
      <c r="I40" s="151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</row>
    <row r="41" spans="1:23" ht="15.75" customHeight="1">
      <c r="A41" s="106"/>
      <c r="B41" s="136" t="s">
        <v>20</v>
      </c>
      <c r="C41" s="166"/>
      <c r="D41" s="166"/>
      <c r="E41" s="155"/>
      <c r="F41" s="155"/>
      <c r="G41" s="161">
        <v>212379.09</v>
      </c>
      <c r="H41" s="147"/>
      <c r="I41" s="151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3" ht="15.75" customHeight="1">
      <c r="A42" s="106"/>
      <c r="B42" s="136" t="s">
        <v>21</v>
      </c>
      <c r="C42" s="166"/>
      <c r="D42" s="166"/>
      <c r="E42" s="155"/>
      <c r="F42" s="155"/>
      <c r="G42" s="161">
        <v>12759.1</v>
      </c>
      <c r="H42" s="147"/>
      <c r="I42" s="151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3" ht="15.75" customHeight="1">
      <c r="A43" s="106"/>
      <c r="B43" s="136" t="s">
        <v>22</v>
      </c>
      <c r="C43" s="166"/>
      <c r="D43" s="166"/>
      <c r="E43" s="155"/>
      <c r="F43" s="155"/>
      <c r="G43" s="161">
        <v>441.32</v>
      </c>
      <c r="H43" s="147"/>
      <c r="I43" s="151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1:23" ht="15.75" customHeight="1">
      <c r="A44" s="106"/>
      <c r="B44" s="153" t="s">
        <v>23</v>
      </c>
      <c r="C44" s="165"/>
      <c r="D44" s="165"/>
      <c r="E44" s="154"/>
      <c r="F44" s="154"/>
      <c r="G44" s="160">
        <f>SUM(G38:G43)</f>
        <v>226520.89</v>
      </c>
      <c r="H44" s="147"/>
      <c r="I44" s="151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3" ht="15.75" customHeight="1">
      <c r="A45" s="106"/>
      <c r="B45" s="157"/>
      <c r="C45" s="106"/>
      <c r="D45" s="106"/>
      <c r="E45" s="150"/>
      <c r="F45" s="150"/>
      <c r="G45" s="150"/>
      <c r="H45" s="147"/>
      <c r="I45" s="151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</row>
    <row r="46" spans="1:23" ht="15.75" customHeight="1">
      <c r="A46" s="106"/>
      <c r="B46" s="153" t="s">
        <v>24</v>
      </c>
      <c r="C46" s="165"/>
      <c r="D46" s="165"/>
      <c r="E46" s="154"/>
      <c r="F46" s="154"/>
      <c r="G46" s="130" t="s">
        <v>2</v>
      </c>
      <c r="H46" s="147"/>
      <c r="I46" s="151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</row>
    <row r="47" spans="1:23" ht="15.75" customHeight="1">
      <c r="A47" s="106"/>
      <c r="B47" s="136" t="s">
        <v>25</v>
      </c>
      <c r="C47" s="166"/>
      <c r="D47" s="166"/>
      <c r="E47" s="155"/>
      <c r="F47" s="155"/>
      <c r="G47" s="161">
        <v>38178607.270000003</v>
      </c>
      <c r="H47" s="148"/>
      <c r="I47" s="151"/>
      <c r="K47" s="108"/>
    </row>
    <row r="48" spans="1:23" ht="15.75" customHeight="1">
      <c r="B48" s="136" t="s">
        <v>26</v>
      </c>
      <c r="C48" s="166"/>
      <c r="D48" s="166"/>
      <c r="E48" s="155"/>
      <c r="F48" s="155"/>
      <c r="G48" s="161">
        <v>12294391.48</v>
      </c>
      <c r="H48" s="148"/>
      <c r="I48" s="151"/>
      <c r="K48" s="108"/>
    </row>
    <row r="49" spans="2:11" ht="15.75" customHeight="1">
      <c r="B49" s="136" t="s">
        <v>27</v>
      </c>
      <c r="C49" s="166"/>
      <c r="D49" s="166"/>
      <c r="E49" s="155"/>
      <c r="F49" s="155"/>
      <c r="G49" s="161">
        <v>0</v>
      </c>
      <c r="H49" s="148"/>
      <c r="I49" s="151"/>
      <c r="K49" s="108"/>
    </row>
    <row r="50" spans="2:11" ht="15.75" customHeight="1">
      <c r="B50" s="136" t="s">
        <v>131</v>
      </c>
      <c r="C50" s="166"/>
      <c r="D50" s="166"/>
      <c r="E50" s="155"/>
      <c r="F50" s="155"/>
      <c r="G50" s="161">
        <v>239265.22</v>
      </c>
      <c r="H50" s="148"/>
      <c r="I50" s="151"/>
      <c r="K50" s="108"/>
    </row>
    <row r="51" spans="2:11" ht="15.75" customHeight="1">
      <c r="B51" s="153" t="s">
        <v>28</v>
      </c>
      <c r="C51" s="165"/>
      <c r="D51" s="165"/>
      <c r="E51" s="154"/>
      <c r="F51" s="154"/>
      <c r="G51" s="160">
        <f>SUM(G47:G50)-G44</f>
        <v>50485743.079999998</v>
      </c>
      <c r="H51" s="148"/>
      <c r="I51" s="151"/>
      <c r="K51" s="108"/>
    </row>
    <row r="52" spans="2:11" ht="15.75" customHeight="1">
      <c r="B52" s="158"/>
      <c r="C52" s="131"/>
      <c r="D52" s="131"/>
      <c r="E52" s="132"/>
      <c r="F52" s="132"/>
      <c r="G52" s="155"/>
      <c r="H52" s="148"/>
      <c r="I52" s="151"/>
      <c r="K52" s="108"/>
    </row>
    <row r="53" spans="2:11" ht="15.75" customHeight="1">
      <c r="B53" s="133" t="s">
        <v>29</v>
      </c>
      <c r="C53" s="167"/>
      <c r="D53" s="167"/>
      <c r="E53" s="156"/>
      <c r="F53" s="156"/>
      <c r="G53" s="162">
        <f>G51+G44</f>
        <v>50712263.969999999</v>
      </c>
      <c r="H53" s="148"/>
      <c r="I53" s="151"/>
      <c r="K53" s="108"/>
    </row>
    <row r="54" spans="2:11" ht="15.75" customHeight="1">
      <c r="B54" s="106"/>
      <c r="C54" s="106"/>
      <c r="D54" s="106"/>
      <c r="E54" s="109"/>
      <c r="F54" s="109"/>
      <c r="G54" s="109"/>
    </row>
    <row r="55" spans="2:11" ht="15.75" customHeight="1">
      <c r="B55" s="106"/>
      <c r="C55" s="106"/>
      <c r="D55" s="106"/>
      <c r="E55" s="109"/>
      <c r="F55" s="109"/>
      <c r="G55" s="109"/>
    </row>
    <row r="56" spans="2:11" ht="15.75" customHeight="1">
      <c r="B56" s="106"/>
      <c r="C56" s="106"/>
      <c r="D56" s="106"/>
      <c r="E56" s="109"/>
      <c r="F56" s="109"/>
      <c r="G56" s="109"/>
    </row>
    <row r="57" spans="2:11" ht="15.75" customHeight="1">
      <c r="B57" s="106"/>
      <c r="C57" s="106"/>
      <c r="D57" s="106"/>
      <c r="E57" s="109"/>
      <c r="F57" s="109"/>
      <c r="G57" s="109"/>
    </row>
    <row r="58" spans="2:11" ht="15.75" customHeight="1">
      <c r="B58" s="106"/>
      <c r="C58" s="106"/>
      <c r="D58" s="106"/>
      <c r="E58" s="109"/>
      <c r="F58" s="109"/>
      <c r="G58" s="109"/>
    </row>
    <row r="59" spans="2:11" ht="15.75" customHeight="1">
      <c r="B59" s="106"/>
      <c r="C59" s="106"/>
      <c r="D59" s="106"/>
      <c r="E59" s="106"/>
      <c r="F59" s="106"/>
    </row>
    <row r="60" spans="2:11" ht="15.75" customHeight="1">
      <c r="B60" s="106"/>
      <c r="C60" s="106"/>
      <c r="D60" s="106"/>
      <c r="E60" s="106"/>
      <c r="F60" s="106"/>
    </row>
    <row r="61" spans="2:11" ht="15.75" customHeight="1">
      <c r="B61" s="106"/>
      <c r="C61" s="106"/>
      <c r="D61" s="106"/>
      <c r="E61" s="106"/>
      <c r="F61" s="106"/>
    </row>
  </sheetData>
  <mergeCells count="4">
    <mergeCell ref="B7:G8"/>
    <mergeCell ref="B23:G24"/>
    <mergeCell ref="B34:G34"/>
    <mergeCell ref="B35:G36"/>
  </mergeCells>
  <pageMargins left="0.78740157480314954" right="0.78740157480314954" top="1.1811023622047245" bottom="1.1811023622047245" header="0.78740157480314954" footer="0.78740157480314954"/>
  <pageSetup paperSize="9" scale="24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61"/>
  <sheetViews>
    <sheetView showGridLines="0" workbookViewId="0">
      <selection activeCell="C26" sqref="C26:G30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18.7109375" style="108" bestFit="1" customWidth="1"/>
    <col min="5" max="5" width="21.42578125" style="108" customWidth="1"/>
    <col min="6" max="8" width="20" style="108" bestFit="1" customWidth="1"/>
    <col min="9" max="9" width="6.85546875" style="108" customWidth="1"/>
    <col min="10" max="10" width="18.42578125" style="148" bestFit="1" customWidth="1"/>
    <col min="11" max="11" width="14.7109375" style="151" bestFit="1" customWidth="1"/>
    <col min="12" max="12" width="13.5703125" style="151" bestFit="1" customWidth="1"/>
    <col min="13" max="24" width="9.5703125" style="108" customWidth="1"/>
    <col min="25" max="1028" width="9.42578125" style="108" customWidth="1"/>
    <col min="1029" max="16384" width="9.140625" style="108"/>
  </cols>
  <sheetData>
    <row r="1" spans="1:24" ht="15.75" customHeight="1">
      <c r="A1" s="106" t="s">
        <v>118</v>
      </c>
      <c r="B1" s="106"/>
      <c r="C1" s="106"/>
      <c r="D1" s="106"/>
      <c r="E1" s="106"/>
      <c r="F1" s="109"/>
      <c r="G1" s="109"/>
      <c r="H1" s="109"/>
      <c r="I1" s="106"/>
      <c r="J1" s="144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5.75" customHeight="1">
      <c r="A2" s="106"/>
      <c r="B2" s="106"/>
      <c r="C2" s="106"/>
      <c r="D2" s="106"/>
      <c r="E2" s="106"/>
      <c r="F2" s="109"/>
      <c r="G2" s="109"/>
      <c r="H2" s="109"/>
      <c r="I2" s="106"/>
      <c r="J2" s="144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.75" customHeight="1">
      <c r="A3" s="106"/>
      <c r="B3" s="367" t="s">
        <v>173</v>
      </c>
      <c r="C3" s="367"/>
      <c r="D3" s="367"/>
      <c r="E3" s="367"/>
      <c r="F3" s="367"/>
      <c r="G3" s="367"/>
      <c r="H3" s="367"/>
      <c r="I3" s="106"/>
      <c r="J3" s="144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.75" customHeight="1">
      <c r="A4" s="106"/>
      <c r="B4" s="106"/>
      <c r="C4" s="106"/>
      <c r="D4" s="106"/>
      <c r="E4" s="106"/>
      <c r="F4" s="109"/>
      <c r="G4" s="109"/>
      <c r="H4" s="109"/>
      <c r="I4" s="106"/>
      <c r="J4" s="144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15.75" customHeight="1">
      <c r="A5" s="106"/>
      <c r="B5" s="106"/>
      <c r="C5" s="106"/>
      <c r="D5" s="106"/>
      <c r="E5" s="106"/>
      <c r="F5" s="109"/>
      <c r="G5" s="109"/>
      <c r="H5" s="109"/>
      <c r="I5" s="106"/>
      <c r="J5" s="144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s="141" customFormat="1" ht="24.95" customHeight="1">
      <c r="A6" s="140"/>
      <c r="B6" s="139" t="s">
        <v>0</v>
      </c>
      <c r="C6" s="139" t="s">
        <v>61</v>
      </c>
      <c r="D6" s="139" t="s">
        <v>53</v>
      </c>
      <c r="E6" s="139" t="s">
        <v>44</v>
      </c>
      <c r="F6" s="139" t="s">
        <v>151</v>
      </c>
      <c r="G6" s="139" t="s">
        <v>31</v>
      </c>
      <c r="H6" s="139">
        <v>2022</v>
      </c>
      <c r="I6" s="140"/>
      <c r="J6" s="145"/>
      <c r="K6" s="151"/>
      <c r="L6" s="151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</row>
    <row r="7" spans="1:24" s="112" customFormat="1" ht="15.75" customHeight="1">
      <c r="A7" s="111"/>
      <c r="B7" s="350" t="s">
        <v>127</v>
      </c>
      <c r="C7" s="351"/>
      <c r="D7" s="351"/>
      <c r="E7" s="351"/>
      <c r="F7" s="351"/>
      <c r="G7" s="351"/>
      <c r="H7" s="351"/>
      <c r="I7" s="111"/>
      <c r="J7" s="146"/>
      <c r="K7" s="151"/>
      <c r="L7" s="15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s="142" customFormat="1" ht="15.75" customHeight="1">
      <c r="A8" s="111"/>
      <c r="B8" s="352"/>
      <c r="C8" s="353"/>
      <c r="D8" s="353"/>
      <c r="E8" s="353"/>
      <c r="F8" s="353"/>
      <c r="G8" s="353"/>
      <c r="H8" s="353"/>
      <c r="I8" s="111"/>
      <c r="J8" s="146"/>
      <c r="K8" s="151"/>
      <c r="L8" s="15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1"/>
      <c r="J9" s="146"/>
      <c r="K9" s="151"/>
      <c r="L9" s="15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17.100000000000001" customHeight="1">
      <c r="A10" s="106"/>
      <c r="B10" s="136" t="s">
        <v>3</v>
      </c>
      <c r="C10" s="168">
        <v>524966.87</v>
      </c>
      <c r="D10" s="168">
        <v>535990.88</v>
      </c>
      <c r="E10" s="168">
        <v>636880.65</v>
      </c>
      <c r="F10" s="138">
        <v>358179.72</v>
      </c>
      <c r="G10" s="138">
        <f>467985.07+2546.27</f>
        <v>470531.34</v>
      </c>
      <c r="H10" s="138">
        <f>SUM(C10:G10)</f>
        <v>2526549.46</v>
      </c>
      <c r="I10" s="106"/>
      <c r="J10" s="147"/>
      <c r="K10" s="152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ht="17.100000000000001" customHeight="1">
      <c r="A11" s="106"/>
      <c r="B11" s="114" t="s">
        <v>4</v>
      </c>
      <c r="C11" s="169">
        <v>487801.26</v>
      </c>
      <c r="D11" s="169">
        <v>189358.6</v>
      </c>
      <c r="E11" s="169">
        <v>405387.8</v>
      </c>
      <c r="F11" s="135">
        <v>227932.55</v>
      </c>
      <c r="G11" s="135">
        <v>452327.34</v>
      </c>
      <c r="H11" s="138">
        <f t="shared" ref="H11:H20" si="0">SUM(C11:G11)</f>
        <v>1762807.55</v>
      </c>
      <c r="I11" s="106"/>
      <c r="J11" s="147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ht="17.100000000000001" customHeight="1">
      <c r="A12" s="106"/>
      <c r="B12" s="114" t="s">
        <v>166</v>
      </c>
      <c r="C12" s="171">
        <v>126693.92</v>
      </c>
      <c r="D12" s="171">
        <v>126693.92</v>
      </c>
      <c r="E12" s="170">
        <v>126693.92</v>
      </c>
      <c r="F12" s="115">
        <v>126693.92</v>
      </c>
      <c r="G12" s="115">
        <v>126693.92</v>
      </c>
      <c r="H12" s="138">
        <f t="shared" si="0"/>
        <v>633469.6</v>
      </c>
      <c r="I12" s="106"/>
      <c r="J12" s="147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4" ht="17.100000000000001" customHeight="1">
      <c r="A13" s="106"/>
      <c r="B13" s="114" t="s">
        <v>6</v>
      </c>
      <c r="C13" s="171">
        <v>505838.52</v>
      </c>
      <c r="D13" s="171">
        <v>16001.38</v>
      </c>
      <c r="E13" s="171">
        <v>809918.94</v>
      </c>
      <c r="F13" s="115">
        <v>98226.79</v>
      </c>
      <c r="G13" s="115">
        <v>38967.99</v>
      </c>
      <c r="H13" s="138">
        <f t="shared" si="0"/>
        <v>1468953.6199999999</v>
      </c>
      <c r="J13" s="14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ht="17.100000000000001" customHeight="1">
      <c r="A14" s="106"/>
      <c r="B14" s="114" t="s">
        <v>174</v>
      </c>
      <c r="C14" s="171">
        <v>56759.4</v>
      </c>
      <c r="D14" s="171">
        <v>55805.13</v>
      </c>
      <c r="E14" s="171">
        <v>55252.6</v>
      </c>
      <c r="F14" s="115">
        <v>54884.88</v>
      </c>
      <c r="G14" s="115">
        <v>54487.12</v>
      </c>
      <c r="H14" s="138">
        <f t="shared" si="0"/>
        <v>277189.13</v>
      </c>
      <c r="I14" s="106"/>
      <c r="J14" s="14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15">
        <v>23811.51</v>
      </c>
      <c r="H15" s="138">
        <f t="shared" si="0"/>
        <v>23811.51</v>
      </c>
      <c r="I15" s="106"/>
      <c r="J15" s="147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ht="17.100000000000001" customHeight="1">
      <c r="A16" s="106"/>
      <c r="B16" s="114" t="s">
        <v>175</v>
      </c>
      <c r="C16" s="171">
        <v>12430.62</v>
      </c>
      <c r="D16" s="171">
        <v>12368.92</v>
      </c>
      <c r="E16" s="171">
        <v>11980.7</v>
      </c>
      <c r="F16" s="115">
        <v>11840.9</v>
      </c>
      <c r="G16" s="115">
        <v>11697.01</v>
      </c>
      <c r="H16" s="138">
        <f t="shared" si="0"/>
        <v>60318.150000000009</v>
      </c>
      <c r="I16" s="106"/>
      <c r="J16" s="147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ht="17.100000000000001" customHeight="1">
      <c r="A17" s="106"/>
      <c r="B17" s="114" t="s">
        <v>176</v>
      </c>
      <c r="C17" s="171">
        <v>5182.37</v>
      </c>
      <c r="D17" s="171">
        <v>5156.6499999999996</v>
      </c>
      <c r="E17" s="171">
        <v>4994.8</v>
      </c>
      <c r="F17" s="115">
        <v>4936.5200000000004</v>
      </c>
      <c r="G17" s="115">
        <v>4876.53</v>
      </c>
      <c r="H17" s="138">
        <f t="shared" si="0"/>
        <v>25146.87</v>
      </c>
      <c r="I17" s="106"/>
      <c r="J17" s="147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24" ht="17.100000000000001" customHeight="1">
      <c r="A18" s="106"/>
      <c r="B18" s="114" t="s">
        <v>177</v>
      </c>
      <c r="C18" s="171">
        <v>17753.55</v>
      </c>
      <c r="D18" s="171">
        <v>17665.8</v>
      </c>
      <c r="E18" s="171">
        <v>17111.64</v>
      </c>
      <c r="F18" s="115">
        <v>17026.22</v>
      </c>
      <c r="G18" s="115">
        <v>16706.07</v>
      </c>
      <c r="H18" s="138">
        <f t="shared" si="0"/>
        <v>86263.28</v>
      </c>
      <c r="I18" s="106"/>
      <c r="J18" s="147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17.100000000000001" customHeight="1">
      <c r="A19" s="106"/>
      <c r="B19" s="114" t="s">
        <v>178</v>
      </c>
      <c r="C19" s="171">
        <v>11242.71</v>
      </c>
      <c r="D19" s="171">
        <v>82684.009999999995</v>
      </c>
      <c r="E19" s="171">
        <v>11242.71</v>
      </c>
      <c r="F19" s="115">
        <v>0</v>
      </c>
      <c r="G19" s="115">
        <v>0</v>
      </c>
      <c r="H19" s="138">
        <f t="shared" si="0"/>
        <v>105169.43</v>
      </c>
      <c r="I19" s="106"/>
      <c r="J19" s="147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24" ht="17.100000000000001" customHeight="1">
      <c r="A20" s="106"/>
      <c r="B20" s="114" t="s">
        <v>149</v>
      </c>
      <c r="C20" s="171">
        <f>(1168.12*2)+(1943.36*2)</f>
        <v>6222.9599999999991</v>
      </c>
      <c r="D20" s="171">
        <v>0</v>
      </c>
      <c r="E20" s="171">
        <v>15557.47</v>
      </c>
      <c r="F20" s="115">
        <v>1168.1199999999999</v>
      </c>
      <c r="G20" s="115">
        <v>3231.48</v>
      </c>
      <c r="H20" s="138">
        <f t="shared" si="0"/>
        <v>26180.03</v>
      </c>
      <c r="I20" s="106"/>
      <c r="J20" s="147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spans="1:24" s="112" customFormat="1" ht="15.75" customHeight="1">
      <c r="A21" s="111"/>
      <c r="B21" s="116" t="s">
        <v>9</v>
      </c>
      <c r="C21" s="117">
        <f t="shared" ref="C21:H21" si="1">SUM(C10:C20)</f>
        <v>1754892.1800000002</v>
      </c>
      <c r="D21" s="117">
        <f t="shared" si="1"/>
        <v>1041725.2900000002</v>
      </c>
      <c r="E21" s="117">
        <f t="shared" si="1"/>
        <v>2095021.2299999997</v>
      </c>
      <c r="F21" s="117">
        <f t="shared" si="1"/>
        <v>900889.62000000011</v>
      </c>
      <c r="G21" s="117">
        <f t="shared" si="1"/>
        <v>1203330.3100000003</v>
      </c>
      <c r="H21" s="117">
        <f t="shared" si="1"/>
        <v>6995858.6299999999</v>
      </c>
      <c r="I21" s="111"/>
      <c r="J21" s="146"/>
      <c r="K21" s="151"/>
      <c r="L21" s="15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ht="15.75" customHeight="1">
      <c r="A22" s="106"/>
      <c r="B22" s="106"/>
      <c r="C22" s="106"/>
      <c r="D22" s="106"/>
      <c r="E22" s="106"/>
      <c r="F22" s="109"/>
      <c r="G22" s="109"/>
      <c r="H22" s="109"/>
      <c r="I22" s="106"/>
      <c r="J22" s="147" t="s">
        <v>118</v>
      </c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</row>
    <row r="23" spans="1:24" s="112" customFormat="1" ht="15.75" customHeight="1">
      <c r="A23" s="111"/>
      <c r="B23" s="350" t="s">
        <v>128</v>
      </c>
      <c r="C23" s="351"/>
      <c r="D23" s="351"/>
      <c r="E23" s="351"/>
      <c r="F23" s="351"/>
      <c r="G23" s="351"/>
      <c r="H23" s="351"/>
      <c r="I23" s="111"/>
      <c r="J23" s="146"/>
      <c r="K23" s="151"/>
      <c r="L23" s="15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ht="15.75" customHeight="1">
      <c r="A24" s="106"/>
      <c r="B24" s="352"/>
      <c r="C24" s="353"/>
      <c r="D24" s="353"/>
      <c r="E24" s="353"/>
      <c r="F24" s="353"/>
      <c r="G24" s="353"/>
      <c r="H24" s="353"/>
      <c r="I24" s="106"/>
      <c r="J24" s="147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</row>
    <row r="25" spans="1:24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06"/>
      <c r="J25" s="14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</row>
    <row r="26" spans="1:24" ht="17.100000000000001" customHeight="1">
      <c r="A26" s="106"/>
      <c r="B26" s="114" t="s">
        <v>179</v>
      </c>
      <c r="C26" s="179">
        <v>755023.19</v>
      </c>
      <c r="D26" s="179">
        <v>548127.35</v>
      </c>
      <c r="E26" s="179">
        <v>542075.24</v>
      </c>
      <c r="F26" s="189">
        <v>495470.49</v>
      </c>
      <c r="G26" s="115">
        <v>487626.13</v>
      </c>
      <c r="H26" s="115">
        <f>SUM(C26:G26)</f>
        <v>2828322.4</v>
      </c>
      <c r="I26" s="106"/>
      <c r="J26" s="147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spans="1:24" ht="17.100000000000001" customHeight="1">
      <c r="A27" s="106"/>
      <c r="B27" s="114" t="s">
        <v>150</v>
      </c>
      <c r="C27" s="179">
        <v>67044.08</v>
      </c>
      <c r="D27" s="179">
        <v>64945.72</v>
      </c>
      <c r="E27" s="179">
        <v>64945.72</v>
      </c>
      <c r="F27" s="189">
        <v>63584.02</v>
      </c>
      <c r="G27" s="115">
        <v>65481.06</v>
      </c>
      <c r="H27" s="115">
        <f t="shared" ref="H27:H30" si="2">SUM(D27:G27)</f>
        <v>258956.52</v>
      </c>
      <c r="I27" s="106"/>
      <c r="J27" s="14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</row>
    <row r="28" spans="1:24" ht="17.100000000000001" customHeight="1">
      <c r="A28" s="106"/>
      <c r="B28" s="114" t="s">
        <v>129</v>
      </c>
      <c r="C28" s="191">
        <v>40256.519999999997</v>
      </c>
      <c r="D28" s="191">
        <v>27034.39</v>
      </c>
      <c r="E28" s="191">
        <v>24052.01</v>
      </c>
      <c r="F28" s="190">
        <v>21886.080000000002</v>
      </c>
      <c r="G28" s="119">
        <v>17676.18</v>
      </c>
      <c r="H28" s="115">
        <f t="shared" si="2"/>
        <v>90648.66</v>
      </c>
      <c r="I28" s="106"/>
      <c r="J28" s="147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</row>
    <row r="29" spans="1:24" ht="17.100000000000001" customHeight="1">
      <c r="A29" s="106"/>
      <c r="B29" s="114" t="s">
        <v>13</v>
      </c>
      <c r="C29" s="179">
        <v>16262.03</v>
      </c>
      <c r="D29" s="179">
        <v>0</v>
      </c>
      <c r="E29" s="179">
        <v>0</v>
      </c>
      <c r="F29" s="189">
        <v>0</v>
      </c>
      <c r="G29" s="115">
        <v>0</v>
      </c>
      <c r="H29" s="115">
        <f t="shared" si="2"/>
        <v>0</v>
      </c>
      <c r="I29" s="106"/>
      <c r="J29" s="147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4" ht="17.100000000000001" customHeight="1">
      <c r="A30" s="106"/>
      <c r="B30" s="114" t="s">
        <v>130</v>
      </c>
      <c r="C30" s="191">
        <v>37362.04</v>
      </c>
      <c r="D30" s="191">
        <v>55560.09</v>
      </c>
      <c r="E30" s="191">
        <v>22252.83</v>
      </c>
      <c r="F30" s="190">
        <v>14595.13</v>
      </c>
      <c r="G30" s="119">
        <v>7086.12</v>
      </c>
      <c r="H30" s="115">
        <f t="shared" si="2"/>
        <v>99494.17</v>
      </c>
      <c r="I30" s="106"/>
      <c r="J30" s="14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</row>
    <row r="31" spans="1:24" s="112" customFormat="1" ht="17.100000000000001" customHeight="1">
      <c r="A31" s="111"/>
      <c r="B31" s="120" t="s">
        <v>84</v>
      </c>
      <c r="C31" s="121">
        <f t="shared" ref="C31:H31" si="3">SUM(C26:C30)</f>
        <v>915947.86</v>
      </c>
      <c r="D31" s="121">
        <f t="shared" si="3"/>
        <v>695667.54999999993</v>
      </c>
      <c r="E31" s="121">
        <f t="shared" si="3"/>
        <v>653325.79999999993</v>
      </c>
      <c r="F31" s="121">
        <f t="shared" si="3"/>
        <v>595535.72</v>
      </c>
      <c r="G31" s="121">
        <f t="shared" si="3"/>
        <v>577869.49</v>
      </c>
      <c r="H31" s="121">
        <f t="shared" si="3"/>
        <v>3277421.75</v>
      </c>
      <c r="I31" s="111"/>
      <c r="J31" s="146"/>
      <c r="K31" s="151"/>
      <c r="L31" s="15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s="112" customFormat="1" ht="17.100000000000001" customHeight="1">
      <c r="A32" s="111"/>
      <c r="B32" s="163" t="s">
        <v>14</v>
      </c>
      <c r="C32" s="164">
        <f t="shared" ref="C32:H32" si="4">C21-C31</f>
        <v>838944.32000000018</v>
      </c>
      <c r="D32" s="164">
        <f t="shared" si="4"/>
        <v>346057.74000000022</v>
      </c>
      <c r="E32" s="164">
        <f t="shared" si="4"/>
        <v>1441695.4299999997</v>
      </c>
      <c r="F32" s="164">
        <f t="shared" si="4"/>
        <v>305353.90000000014</v>
      </c>
      <c r="G32" s="164">
        <f t="shared" si="4"/>
        <v>625460.8200000003</v>
      </c>
      <c r="H32" s="159">
        <f t="shared" si="4"/>
        <v>3718436.88</v>
      </c>
      <c r="I32" s="111"/>
      <c r="J32" s="146"/>
      <c r="K32" s="151"/>
      <c r="L32" s="15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ht="15.75" customHeight="1">
      <c r="A33" s="106"/>
      <c r="B33" s="106"/>
      <c r="C33" s="106"/>
      <c r="D33" s="106"/>
      <c r="E33" s="106"/>
      <c r="F33" s="109"/>
      <c r="G33" s="109"/>
      <c r="H33" s="109"/>
      <c r="I33" s="106"/>
      <c r="J33" s="14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</row>
    <row r="34" spans="1:24" s="112" customFormat="1" ht="15.75" customHeight="1">
      <c r="A34" s="111"/>
      <c r="B34" s="362" t="s">
        <v>15</v>
      </c>
      <c r="C34" s="363"/>
      <c r="D34" s="363"/>
      <c r="E34" s="363"/>
      <c r="F34" s="363"/>
      <c r="G34" s="363"/>
      <c r="H34" s="364"/>
      <c r="I34" s="111"/>
      <c r="J34" s="146"/>
      <c r="K34" s="151"/>
      <c r="L34" s="15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s="112" customFormat="1" ht="15.75" customHeight="1">
      <c r="A35" s="111"/>
      <c r="B35" s="350" t="s">
        <v>16</v>
      </c>
      <c r="C35" s="351"/>
      <c r="D35" s="351"/>
      <c r="E35" s="351"/>
      <c r="F35" s="351"/>
      <c r="G35" s="351"/>
      <c r="H35" s="365"/>
      <c r="I35" s="111"/>
      <c r="J35" s="146"/>
      <c r="K35" s="151"/>
      <c r="L35" s="15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ht="15.75" customHeight="1">
      <c r="A36" s="106"/>
      <c r="B36" s="352"/>
      <c r="C36" s="353"/>
      <c r="D36" s="353"/>
      <c r="E36" s="353"/>
      <c r="F36" s="353"/>
      <c r="G36" s="353"/>
      <c r="H36" s="366"/>
      <c r="I36" s="106"/>
      <c r="J36" s="14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</row>
    <row r="37" spans="1:24" ht="15.75" customHeight="1">
      <c r="A37" s="106"/>
      <c r="B37" s="153" t="s">
        <v>17</v>
      </c>
      <c r="C37" s="165"/>
      <c r="D37" s="165"/>
      <c r="E37" s="165"/>
      <c r="F37" s="154"/>
      <c r="G37" s="154"/>
      <c r="H37" s="130" t="s">
        <v>2</v>
      </c>
      <c r="I37" s="147"/>
      <c r="J37" s="151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</row>
    <row r="38" spans="1:24" ht="15.75" customHeight="1">
      <c r="A38" s="106"/>
      <c r="B38" s="136" t="s">
        <v>180</v>
      </c>
      <c r="C38" s="166"/>
      <c r="D38" s="166"/>
      <c r="E38" s="166"/>
      <c r="F38" s="155"/>
      <c r="G38" s="155"/>
      <c r="H38" s="161">
        <v>11242.71</v>
      </c>
      <c r="I38" s="147"/>
      <c r="J38" s="151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</row>
    <row r="39" spans="1:24" ht="15.75" customHeight="1">
      <c r="A39" s="106"/>
      <c r="B39" s="136" t="s">
        <v>181</v>
      </c>
      <c r="C39" s="166"/>
      <c r="D39" s="166"/>
      <c r="E39" s="166"/>
      <c r="F39" s="155"/>
      <c r="G39" s="155"/>
      <c r="H39" s="161">
        <v>941.38</v>
      </c>
      <c r="I39" s="147"/>
      <c r="J39" s="151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</row>
    <row r="40" spans="1:24" ht="15.75" customHeight="1">
      <c r="A40" s="106"/>
      <c r="B40" s="136" t="s">
        <v>132</v>
      </c>
      <c r="C40" s="166"/>
      <c r="D40" s="166"/>
      <c r="E40" s="166"/>
      <c r="F40" s="155"/>
      <c r="G40" s="155"/>
      <c r="H40" s="161">
        <v>0</v>
      </c>
      <c r="I40" s="147"/>
      <c r="J40" s="151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</row>
    <row r="41" spans="1:24" ht="15.75" customHeight="1">
      <c r="A41" s="106"/>
      <c r="B41" s="136" t="s">
        <v>20</v>
      </c>
      <c r="C41" s="166"/>
      <c r="D41" s="166"/>
      <c r="E41" s="166"/>
      <c r="F41" s="155"/>
      <c r="G41" s="155"/>
      <c r="H41" s="161">
        <v>615963.51</v>
      </c>
      <c r="I41" s="147"/>
      <c r="J41" s="151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  <row r="42" spans="1:24" ht="15.75" customHeight="1">
      <c r="A42" s="106"/>
      <c r="B42" s="136" t="s">
        <v>21</v>
      </c>
      <c r="C42" s="166"/>
      <c r="D42" s="166"/>
      <c r="E42" s="166"/>
      <c r="F42" s="155"/>
      <c r="G42" s="155"/>
      <c r="H42" s="161">
        <v>13494.97</v>
      </c>
      <c r="I42" s="147"/>
      <c r="J42" s="151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</row>
    <row r="43" spans="1:24" ht="15.75" customHeight="1">
      <c r="A43" s="106"/>
      <c r="B43" s="136" t="s">
        <v>22</v>
      </c>
      <c r="C43" s="166"/>
      <c r="D43" s="166"/>
      <c r="E43" s="166"/>
      <c r="F43" s="155"/>
      <c r="G43" s="155"/>
      <c r="H43" s="161">
        <v>392.32</v>
      </c>
      <c r="I43" s="147"/>
      <c r="J43" s="151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</row>
    <row r="44" spans="1:24" ht="15.75" customHeight="1">
      <c r="A44" s="106"/>
      <c r="B44" s="153" t="s">
        <v>23</v>
      </c>
      <c r="C44" s="165"/>
      <c r="D44" s="165"/>
      <c r="E44" s="165"/>
      <c r="F44" s="154"/>
      <c r="G44" s="154"/>
      <c r="H44" s="160">
        <f>SUM(H38:H43)</f>
        <v>642034.8899999999</v>
      </c>
      <c r="I44" s="147"/>
      <c r="J44" s="151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</row>
    <row r="45" spans="1:24" ht="15.75" customHeight="1">
      <c r="A45" s="106"/>
      <c r="B45" s="157"/>
      <c r="C45" s="106"/>
      <c r="D45" s="106"/>
      <c r="E45" s="106"/>
      <c r="F45" s="150"/>
      <c r="G45" s="150"/>
      <c r="H45" s="150"/>
      <c r="I45" s="147"/>
      <c r="J45" s="151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</row>
    <row r="46" spans="1:24" ht="15.75" customHeight="1">
      <c r="A46" s="106"/>
      <c r="B46" s="153" t="s">
        <v>24</v>
      </c>
      <c r="C46" s="165"/>
      <c r="D46" s="165"/>
      <c r="E46" s="165"/>
      <c r="F46" s="154"/>
      <c r="G46" s="154"/>
      <c r="H46" s="130" t="s">
        <v>2</v>
      </c>
      <c r="I46" s="147"/>
      <c r="J46" s="151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</row>
    <row r="47" spans="1:24" ht="15.75" customHeight="1">
      <c r="A47" s="106"/>
      <c r="B47" s="136" t="s">
        <v>25</v>
      </c>
      <c r="C47" s="166"/>
      <c r="D47" s="166"/>
      <c r="E47" s="166"/>
      <c r="F47" s="155"/>
      <c r="G47" s="155"/>
      <c r="H47" s="161">
        <v>38046013.740000002</v>
      </c>
      <c r="I47" s="148"/>
      <c r="J47" s="151"/>
      <c r="L47" s="108"/>
    </row>
    <row r="48" spans="1:24" ht="15.75" customHeight="1">
      <c r="B48" s="136" t="s">
        <v>26</v>
      </c>
      <c r="C48" s="166"/>
      <c r="D48" s="166"/>
      <c r="E48" s="166"/>
      <c r="F48" s="155"/>
      <c r="G48" s="155"/>
      <c r="H48" s="161">
        <v>13301133.33</v>
      </c>
      <c r="I48" s="148"/>
      <c r="J48" s="151"/>
      <c r="L48" s="108"/>
    </row>
    <row r="49" spans="2:12" ht="15.75" customHeight="1">
      <c r="B49" s="136" t="s">
        <v>27</v>
      </c>
      <c r="C49" s="166"/>
      <c r="D49" s="166"/>
      <c r="E49" s="166"/>
      <c r="F49" s="155"/>
      <c r="G49" s="155"/>
      <c r="H49" s="161">
        <v>0</v>
      </c>
      <c r="I49" s="148"/>
      <c r="J49" s="151"/>
      <c r="L49" s="108"/>
    </row>
    <row r="50" spans="2:12" ht="15.75" customHeight="1">
      <c r="B50" s="136" t="s">
        <v>131</v>
      </c>
      <c r="C50" s="166"/>
      <c r="D50" s="166"/>
      <c r="E50" s="166"/>
      <c r="F50" s="155"/>
      <c r="G50" s="155"/>
      <c r="H50" s="161">
        <v>241786.83</v>
      </c>
      <c r="I50" s="148"/>
      <c r="J50" s="151"/>
      <c r="L50" s="108"/>
    </row>
    <row r="51" spans="2:12" ht="15.75" customHeight="1">
      <c r="B51" s="153" t="s">
        <v>28</v>
      </c>
      <c r="C51" s="165"/>
      <c r="D51" s="165"/>
      <c r="E51" s="165"/>
      <c r="F51" s="154"/>
      <c r="G51" s="154"/>
      <c r="H51" s="160">
        <f>SUM(H47:H50)-H44</f>
        <v>50946899.009999998</v>
      </c>
      <c r="I51" s="148"/>
      <c r="J51" s="151"/>
      <c r="L51" s="108"/>
    </row>
    <row r="52" spans="2:12" ht="15.75" customHeight="1">
      <c r="B52" s="158"/>
      <c r="C52" s="131"/>
      <c r="D52" s="131"/>
      <c r="E52" s="131"/>
      <c r="F52" s="132"/>
      <c r="G52" s="132"/>
      <c r="H52" s="155"/>
      <c r="I52" s="148"/>
      <c r="J52" s="151"/>
      <c r="L52" s="108"/>
    </row>
    <row r="53" spans="2:12" ht="15.75" customHeight="1">
      <c r="B53" s="133" t="s">
        <v>29</v>
      </c>
      <c r="C53" s="167"/>
      <c r="D53" s="167"/>
      <c r="E53" s="167"/>
      <c r="F53" s="156"/>
      <c r="G53" s="156"/>
      <c r="H53" s="162">
        <f>H51+H44</f>
        <v>51588933.899999999</v>
      </c>
      <c r="I53" s="148"/>
      <c r="J53" s="151"/>
      <c r="L53" s="108"/>
    </row>
    <row r="54" spans="2:12" ht="15.75" customHeight="1">
      <c r="B54" s="106"/>
      <c r="C54" s="106"/>
      <c r="D54" s="106"/>
      <c r="E54" s="106"/>
      <c r="F54" s="109"/>
      <c r="G54" s="109"/>
      <c r="H54" s="109"/>
    </row>
    <row r="55" spans="2:12" ht="15.75" customHeight="1">
      <c r="B55" s="106"/>
      <c r="C55" s="106"/>
      <c r="D55" s="106"/>
      <c r="E55" s="106"/>
      <c r="F55" s="109"/>
      <c r="G55" s="109"/>
      <c r="H55" s="109"/>
    </row>
    <row r="56" spans="2:12" ht="15.75" customHeight="1">
      <c r="B56" s="106"/>
      <c r="C56" s="106"/>
      <c r="D56" s="106"/>
      <c r="E56" s="106"/>
      <c r="F56" s="109"/>
      <c r="G56" s="109"/>
      <c r="H56" s="109"/>
    </row>
    <row r="57" spans="2:12" ht="15.75" customHeight="1">
      <c r="B57" s="106"/>
      <c r="C57" s="106"/>
      <c r="D57" s="106"/>
      <c r="E57" s="106"/>
      <c r="F57" s="109"/>
      <c r="G57" s="109"/>
      <c r="H57" s="109"/>
    </row>
    <row r="58" spans="2:12" ht="15.75" customHeight="1">
      <c r="B58" s="106"/>
      <c r="C58" s="106"/>
      <c r="D58" s="106"/>
      <c r="E58" s="106"/>
      <c r="F58" s="109"/>
      <c r="G58" s="109"/>
      <c r="H58" s="109"/>
    </row>
    <row r="59" spans="2:12" ht="15.75" customHeight="1">
      <c r="B59" s="106"/>
      <c r="C59" s="106"/>
      <c r="D59" s="106"/>
      <c r="E59" s="106"/>
      <c r="F59" s="106"/>
      <c r="G59" s="106"/>
    </row>
    <row r="60" spans="2:12" ht="15.75" customHeight="1">
      <c r="B60" s="106"/>
      <c r="C60" s="106"/>
      <c r="D60" s="106"/>
      <c r="E60" s="106"/>
      <c r="F60" s="106"/>
      <c r="G60" s="106"/>
    </row>
    <row r="61" spans="2:12" ht="15.75" customHeight="1">
      <c r="B61" s="106"/>
      <c r="C61" s="106"/>
      <c r="D61" s="106"/>
      <c r="E61" s="106"/>
      <c r="F61" s="106"/>
      <c r="G61" s="106"/>
    </row>
  </sheetData>
  <mergeCells count="5">
    <mergeCell ref="B7:H8"/>
    <mergeCell ref="B23:H24"/>
    <mergeCell ref="B34:H34"/>
    <mergeCell ref="B35:H36"/>
    <mergeCell ref="B3:H3"/>
  </mergeCells>
  <pageMargins left="0.78740157480314954" right="0.78740157480314954" top="1.1811023622047245" bottom="1.1811023622047245" header="0.78740157480314954" footer="0.7874015748031495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61"/>
  <sheetViews>
    <sheetView showGridLines="0" workbookViewId="0">
      <selection activeCell="C26" sqref="C26:H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9.5703125" style="108" bestFit="1" customWidth="1"/>
    <col min="4" max="5" width="18.7109375" style="108" bestFit="1" customWidth="1"/>
    <col min="6" max="6" width="21.42578125" style="108" customWidth="1"/>
    <col min="7" max="9" width="20" style="108" bestFit="1" customWidth="1"/>
    <col min="10" max="10" width="6.85546875" style="108" customWidth="1"/>
    <col min="11" max="11" width="18.42578125" style="148" bestFit="1" customWidth="1"/>
    <col min="12" max="12" width="14.7109375" style="151" bestFit="1" customWidth="1"/>
    <col min="13" max="13" width="13.5703125" style="151" bestFit="1" customWidth="1"/>
    <col min="14" max="25" width="9.5703125" style="108" customWidth="1"/>
    <col min="26" max="1029" width="9.42578125" style="108" customWidth="1"/>
    <col min="1030" max="16384" width="9.140625" style="108"/>
  </cols>
  <sheetData>
    <row r="1" spans="1:25" ht="15.75" customHeight="1">
      <c r="A1" s="106" t="s">
        <v>118</v>
      </c>
      <c r="B1" s="106"/>
      <c r="C1" s="106"/>
      <c r="D1" s="106"/>
      <c r="E1" s="106"/>
      <c r="F1" s="106"/>
      <c r="G1" s="109"/>
      <c r="H1" s="109"/>
      <c r="I1" s="109"/>
      <c r="J1" s="106"/>
      <c r="K1" s="144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5.75" customHeight="1">
      <c r="A2" s="106"/>
      <c r="B2" s="106"/>
      <c r="C2" s="106"/>
      <c r="D2" s="106"/>
      <c r="E2" s="106"/>
      <c r="F2" s="106"/>
      <c r="G2" s="109"/>
      <c r="H2" s="109"/>
      <c r="I2" s="109"/>
      <c r="J2" s="106"/>
      <c r="K2" s="144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15.75" customHeight="1">
      <c r="A3" s="106"/>
      <c r="B3" s="367" t="s">
        <v>173</v>
      </c>
      <c r="C3" s="367"/>
      <c r="D3" s="367"/>
      <c r="E3" s="367"/>
      <c r="F3" s="367"/>
      <c r="G3" s="367"/>
      <c r="H3" s="367"/>
      <c r="I3" s="367"/>
      <c r="J3" s="106"/>
      <c r="K3" s="144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ht="15.75" customHeight="1">
      <c r="A4" s="106"/>
      <c r="B4" s="106"/>
      <c r="C4" s="106"/>
      <c r="D4" s="106"/>
      <c r="E4" s="106"/>
      <c r="F4" s="106"/>
      <c r="G4" s="109"/>
      <c r="H4" s="109"/>
      <c r="I4" s="109"/>
      <c r="J4" s="106"/>
      <c r="K4" s="144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ht="15.75" customHeight="1">
      <c r="A5" s="106"/>
      <c r="B5" s="106"/>
      <c r="C5" s="106"/>
      <c r="D5" s="106"/>
      <c r="E5" s="106"/>
      <c r="F5" s="106"/>
      <c r="G5" s="109"/>
      <c r="H5" s="109"/>
      <c r="I5" s="109"/>
      <c r="J5" s="106"/>
      <c r="K5" s="144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5" s="141" customFormat="1" ht="24.95" customHeight="1">
      <c r="A6" s="140"/>
      <c r="B6" s="139" t="s">
        <v>0</v>
      </c>
      <c r="C6" s="139" t="s">
        <v>69</v>
      </c>
      <c r="D6" s="139" t="s">
        <v>61</v>
      </c>
      <c r="E6" s="139" t="s">
        <v>53</v>
      </c>
      <c r="F6" s="139" t="s">
        <v>44</v>
      </c>
      <c r="G6" s="139" t="s">
        <v>151</v>
      </c>
      <c r="H6" s="139" t="s">
        <v>31</v>
      </c>
      <c r="I6" s="139">
        <v>2022</v>
      </c>
      <c r="J6" s="140"/>
      <c r="K6" s="145"/>
      <c r="L6" s="151"/>
      <c r="M6" s="151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</row>
    <row r="7" spans="1:25" s="112" customFormat="1" ht="15.75" customHeight="1">
      <c r="A7" s="111"/>
      <c r="B7" s="350" t="s">
        <v>127</v>
      </c>
      <c r="C7" s="351"/>
      <c r="D7" s="351"/>
      <c r="E7" s="351"/>
      <c r="F7" s="351"/>
      <c r="G7" s="351"/>
      <c r="H7" s="351"/>
      <c r="I7" s="351"/>
      <c r="J7" s="111"/>
      <c r="K7" s="146"/>
      <c r="L7" s="151"/>
      <c r="M7" s="15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25" s="142" customFormat="1" ht="15.75" customHeight="1">
      <c r="A8" s="111"/>
      <c r="B8" s="352"/>
      <c r="C8" s="353"/>
      <c r="D8" s="353"/>
      <c r="E8" s="353"/>
      <c r="F8" s="353"/>
      <c r="G8" s="353"/>
      <c r="H8" s="353"/>
      <c r="I8" s="353"/>
      <c r="J8" s="111"/>
      <c r="K8" s="146"/>
      <c r="L8" s="151"/>
      <c r="M8" s="15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spans="1:25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1"/>
      <c r="K9" s="146"/>
      <c r="L9" s="151"/>
      <c r="M9" s="15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25" ht="17.100000000000001" customHeight="1">
      <c r="A10" s="106"/>
      <c r="B10" s="136" t="s">
        <v>3</v>
      </c>
      <c r="C10" s="168">
        <v>727581.54</v>
      </c>
      <c r="D10" s="168">
        <v>524966.87</v>
      </c>
      <c r="E10" s="168">
        <v>535990.88</v>
      </c>
      <c r="F10" s="168">
        <v>636880.65</v>
      </c>
      <c r="G10" s="138">
        <v>358179.72</v>
      </c>
      <c r="H10" s="138">
        <f>467985.07+2546.27</f>
        <v>470531.34</v>
      </c>
      <c r="I10" s="138">
        <f>SUM(C10:H10)</f>
        <v>3254131</v>
      </c>
      <c r="J10" s="106"/>
      <c r="K10" s="147"/>
      <c r="L10" s="152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spans="1:25" ht="17.100000000000001" customHeight="1">
      <c r="A11" s="106"/>
      <c r="B11" s="114" t="s">
        <v>4</v>
      </c>
      <c r="C11" s="169">
        <v>463056.11</v>
      </c>
      <c r="D11" s="169">
        <v>487801.26</v>
      </c>
      <c r="E11" s="169">
        <v>189358.6</v>
      </c>
      <c r="F11" s="169">
        <v>405387.8</v>
      </c>
      <c r="G11" s="135">
        <v>227932.55</v>
      </c>
      <c r="H11" s="135">
        <v>452327.34</v>
      </c>
      <c r="I11" s="138">
        <f t="shared" ref="I11:I20" si="0">SUM(C11:H11)</f>
        <v>2225863.66</v>
      </c>
      <c r="J11" s="106"/>
      <c r="K11" s="147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25" ht="17.100000000000001" customHeight="1">
      <c r="A12" s="106"/>
      <c r="B12" s="114" t="s">
        <v>133</v>
      </c>
      <c r="C12" s="171">
        <v>263303.75</v>
      </c>
      <c r="D12" s="171">
        <v>126693.92</v>
      </c>
      <c r="E12" s="171">
        <v>126693.92</v>
      </c>
      <c r="F12" s="170">
        <v>126693.92</v>
      </c>
      <c r="G12" s="115">
        <v>126693.92</v>
      </c>
      <c r="H12" s="115">
        <v>126693.92</v>
      </c>
      <c r="I12" s="138">
        <f t="shared" si="0"/>
        <v>896773.35000000009</v>
      </c>
      <c r="J12" s="106"/>
      <c r="K12" s="147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ht="17.100000000000001" customHeight="1">
      <c r="A13" s="106"/>
      <c r="B13" s="114" t="s">
        <v>6</v>
      </c>
      <c r="C13" s="171">
        <v>-84090.74</v>
      </c>
      <c r="D13" s="171">
        <v>505838.52</v>
      </c>
      <c r="E13" s="171">
        <v>16001.38</v>
      </c>
      <c r="F13" s="171">
        <v>809918.94</v>
      </c>
      <c r="G13" s="115">
        <v>98226.79</v>
      </c>
      <c r="H13" s="115">
        <v>38967.99</v>
      </c>
      <c r="I13" s="138">
        <f t="shared" si="0"/>
        <v>1384862.8800000001</v>
      </c>
      <c r="K13" s="147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ht="17.100000000000001" customHeight="1">
      <c r="A14" s="106"/>
      <c r="B14" s="114" t="s">
        <v>182</v>
      </c>
      <c r="C14" s="171">
        <v>57349.7</v>
      </c>
      <c r="D14" s="171">
        <v>56759.4</v>
      </c>
      <c r="E14" s="171">
        <v>55805.13</v>
      </c>
      <c r="F14" s="171">
        <v>55252.6</v>
      </c>
      <c r="G14" s="115">
        <v>54884.88</v>
      </c>
      <c r="H14" s="115">
        <v>54487.12</v>
      </c>
      <c r="I14" s="138">
        <f t="shared" si="0"/>
        <v>334538.83</v>
      </c>
      <c r="J14" s="106"/>
      <c r="K14" s="147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15">
        <v>23811.51</v>
      </c>
      <c r="I15" s="138">
        <f t="shared" si="0"/>
        <v>23811.51</v>
      </c>
      <c r="J15" s="106"/>
      <c r="K15" s="147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25" ht="17.100000000000001" customHeight="1">
      <c r="A16" s="106"/>
      <c r="B16" s="114" t="s">
        <v>183</v>
      </c>
      <c r="C16" s="171">
        <v>12621.89</v>
      </c>
      <c r="D16" s="171">
        <v>12430.62</v>
      </c>
      <c r="E16" s="171">
        <v>12368.92</v>
      </c>
      <c r="F16" s="171">
        <v>11980.7</v>
      </c>
      <c r="G16" s="115">
        <v>11840.9</v>
      </c>
      <c r="H16" s="115">
        <v>11697.01</v>
      </c>
      <c r="I16" s="138">
        <f t="shared" si="0"/>
        <v>72940.040000000008</v>
      </c>
      <c r="J16" s="106"/>
      <c r="K16" s="147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ht="17.100000000000001" customHeight="1">
      <c r="A17" s="106"/>
      <c r="B17" s="114" t="s">
        <v>184</v>
      </c>
      <c r="C17" s="171">
        <v>5262.12</v>
      </c>
      <c r="D17" s="171">
        <v>5182.37</v>
      </c>
      <c r="E17" s="171">
        <v>5156.6499999999996</v>
      </c>
      <c r="F17" s="171">
        <v>4994.8</v>
      </c>
      <c r="G17" s="115">
        <v>4936.5200000000004</v>
      </c>
      <c r="H17" s="115">
        <v>4876.53</v>
      </c>
      <c r="I17" s="138">
        <f t="shared" si="0"/>
        <v>30408.989999999998</v>
      </c>
      <c r="J17" s="106"/>
      <c r="K17" s="147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ht="17.100000000000001" customHeight="1">
      <c r="A18" s="106"/>
      <c r="B18" s="114" t="s">
        <v>185</v>
      </c>
      <c r="C18" s="171">
        <v>18028.2</v>
      </c>
      <c r="D18" s="171">
        <v>17753.55</v>
      </c>
      <c r="E18" s="171">
        <v>17665.8</v>
      </c>
      <c r="F18" s="171">
        <v>17111.64</v>
      </c>
      <c r="G18" s="115">
        <v>17026.22</v>
      </c>
      <c r="H18" s="115">
        <v>16706.07</v>
      </c>
      <c r="I18" s="138">
        <f t="shared" si="0"/>
        <v>104291.48000000001</v>
      </c>
      <c r="J18" s="106"/>
      <c r="K18" s="147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82684.009999999995</v>
      </c>
      <c r="F19" s="171">
        <v>11242.71</v>
      </c>
      <c r="G19" s="115">
        <v>0</v>
      </c>
      <c r="H19" s="115">
        <v>0</v>
      </c>
      <c r="I19" s="138">
        <f t="shared" si="0"/>
        <v>116412.13999999998</v>
      </c>
      <c r="J19" s="106"/>
      <c r="K19" s="147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ht="17.100000000000001" customHeight="1">
      <c r="A20" s="106"/>
      <c r="B20" s="114" t="s">
        <v>192</v>
      </c>
      <c r="C20" s="171">
        <f>1168.12+1943.36</f>
        <v>3111.4799999999996</v>
      </c>
      <c r="D20" s="171">
        <f>(1168.12*2)+(1943.36*2)</f>
        <v>6222.9599999999991</v>
      </c>
      <c r="E20" s="171">
        <v>0</v>
      </c>
      <c r="F20" s="171">
        <v>15557.47</v>
      </c>
      <c r="G20" s="115">
        <v>1168.1199999999999</v>
      </c>
      <c r="H20" s="115">
        <v>3231.48</v>
      </c>
      <c r="I20" s="138">
        <f t="shared" si="0"/>
        <v>29291.509999999995</v>
      </c>
      <c r="J20" s="106"/>
      <c r="K20" s="147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</row>
    <row r="21" spans="1:25" s="112" customFormat="1" ht="15.75" customHeight="1">
      <c r="A21" s="111"/>
      <c r="B21" s="116" t="s">
        <v>9</v>
      </c>
      <c r="C21" s="117">
        <f t="shared" ref="C21:I21" si="1">SUM(C10:C20)</f>
        <v>1477466.7599999998</v>
      </c>
      <c r="D21" s="117">
        <f t="shared" si="1"/>
        <v>1754892.1800000002</v>
      </c>
      <c r="E21" s="117">
        <f t="shared" si="1"/>
        <v>1041725.2900000002</v>
      </c>
      <c r="F21" s="117">
        <f t="shared" si="1"/>
        <v>2095021.2299999997</v>
      </c>
      <c r="G21" s="117">
        <f t="shared" si="1"/>
        <v>900889.62000000011</v>
      </c>
      <c r="H21" s="117">
        <f t="shared" si="1"/>
        <v>1203330.3100000003</v>
      </c>
      <c r="I21" s="117">
        <f t="shared" si="1"/>
        <v>8473325.3900000006</v>
      </c>
      <c r="J21" s="111"/>
      <c r="K21" s="146"/>
      <c r="L21" s="151"/>
      <c r="M21" s="15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25" ht="15.75" customHeight="1">
      <c r="A22" s="106"/>
      <c r="B22" s="106"/>
      <c r="C22" s="106"/>
      <c r="D22" s="106"/>
      <c r="E22" s="106"/>
      <c r="F22" s="106"/>
      <c r="G22" s="109"/>
      <c r="H22" s="109"/>
      <c r="I22" s="109"/>
      <c r="J22" s="106"/>
      <c r="K22" s="147" t="s">
        <v>118</v>
      </c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</row>
    <row r="23" spans="1:25" s="112" customFormat="1" ht="15.75" customHeight="1">
      <c r="A23" s="111"/>
      <c r="B23" s="350" t="s">
        <v>128</v>
      </c>
      <c r="C23" s="351"/>
      <c r="D23" s="351"/>
      <c r="E23" s="351"/>
      <c r="F23" s="351"/>
      <c r="G23" s="351"/>
      <c r="H23" s="351"/>
      <c r="I23" s="351"/>
      <c r="J23" s="111"/>
      <c r="K23" s="146"/>
      <c r="L23" s="151"/>
      <c r="M23" s="15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25" ht="15.75" customHeight="1">
      <c r="A24" s="106"/>
      <c r="B24" s="352"/>
      <c r="C24" s="353"/>
      <c r="D24" s="353"/>
      <c r="E24" s="353"/>
      <c r="F24" s="353"/>
      <c r="G24" s="353"/>
      <c r="H24" s="353"/>
      <c r="I24" s="353"/>
      <c r="J24" s="106"/>
      <c r="K24" s="147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1:25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06"/>
      <c r="K25" s="147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</row>
    <row r="26" spans="1:25" ht="17.100000000000001" customHeight="1">
      <c r="A26" s="106"/>
      <c r="B26" s="114" t="s">
        <v>199</v>
      </c>
      <c r="C26" s="179">
        <v>925293.45</v>
      </c>
      <c r="D26" s="179">
        <v>755023.19</v>
      </c>
      <c r="E26" s="179">
        <v>548127.35</v>
      </c>
      <c r="F26" s="179">
        <v>542075.24</v>
      </c>
      <c r="G26" s="189">
        <v>495470.49</v>
      </c>
      <c r="H26" s="115">
        <v>487626.13</v>
      </c>
      <c r="I26" s="115">
        <f>SUM(C26:H26)</f>
        <v>3753615.8499999996</v>
      </c>
      <c r="J26" s="106"/>
      <c r="K26" s="147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</row>
    <row r="27" spans="1:25" ht="17.100000000000001" customHeight="1">
      <c r="A27" s="106"/>
      <c r="B27" s="114" t="s">
        <v>116</v>
      </c>
      <c r="C27" s="179">
        <v>97154.79</v>
      </c>
      <c r="D27" s="179">
        <v>67044.08</v>
      </c>
      <c r="E27" s="179">
        <v>64945.72</v>
      </c>
      <c r="F27" s="179">
        <v>64945.72</v>
      </c>
      <c r="G27" s="189">
        <v>63584.02</v>
      </c>
      <c r="H27" s="115">
        <v>65481.06</v>
      </c>
      <c r="I27" s="115">
        <f t="shared" ref="I27:I30" si="2">SUM(C27:H27)</f>
        <v>423155.39</v>
      </c>
      <c r="J27" s="106"/>
      <c r="K27" s="147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ht="17.100000000000001" customHeight="1">
      <c r="A28" s="106"/>
      <c r="B28" s="114" t="s">
        <v>129</v>
      </c>
      <c r="C28" s="191">
        <v>46269.5</v>
      </c>
      <c r="D28" s="191">
        <v>40256.519999999997</v>
      </c>
      <c r="E28" s="191">
        <v>27034.39</v>
      </c>
      <c r="F28" s="191">
        <v>24052.01</v>
      </c>
      <c r="G28" s="190">
        <v>21886.080000000002</v>
      </c>
      <c r="H28" s="119">
        <v>17676.18</v>
      </c>
      <c r="I28" s="115">
        <f t="shared" si="2"/>
        <v>177174.68</v>
      </c>
      <c r="J28" s="106"/>
      <c r="K28" s="147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</row>
    <row r="29" spans="1:25" ht="17.100000000000001" customHeight="1">
      <c r="A29" s="106"/>
      <c r="B29" s="114" t="s">
        <v>193</v>
      </c>
      <c r="C29" s="179">
        <f>1531.08</f>
        <v>1531.08</v>
      </c>
      <c r="D29" s="179">
        <v>16262.03</v>
      </c>
      <c r="E29" s="179">
        <v>0</v>
      </c>
      <c r="F29" s="179">
        <v>0</v>
      </c>
      <c r="G29" s="189">
        <v>0</v>
      </c>
      <c r="H29" s="115">
        <v>0</v>
      </c>
      <c r="I29" s="115">
        <f t="shared" si="2"/>
        <v>17793.11</v>
      </c>
      <c r="J29" s="106"/>
      <c r="K29" s="147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ht="17.100000000000001" customHeight="1">
      <c r="A30" s="106"/>
      <c r="B30" s="114" t="s">
        <v>130</v>
      </c>
      <c r="C30" s="191">
        <v>89171.65</v>
      </c>
      <c r="D30" s="191">
        <v>37362.04</v>
      </c>
      <c r="E30" s="191">
        <v>55560.09</v>
      </c>
      <c r="F30" s="191">
        <v>22252.83</v>
      </c>
      <c r="G30" s="190">
        <v>14595.13</v>
      </c>
      <c r="H30" s="119">
        <v>7086.12</v>
      </c>
      <c r="I30" s="115">
        <f t="shared" si="2"/>
        <v>226027.86</v>
      </c>
      <c r="J30" s="106"/>
      <c r="K30" s="147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s="112" customFormat="1" ht="17.100000000000001" customHeight="1">
      <c r="A31" s="111"/>
      <c r="B31" s="120" t="s">
        <v>84</v>
      </c>
      <c r="C31" s="121">
        <f t="shared" ref="C31:H31" si="3">SUM(C26:C30)</f>
        <v>1159420.47</v>
      </c>
      <c r="D31" s="121">
        <f t="shared" si="3"/>
        <v>915947.86</v>
      </c>
      <c r="E31" s="121">
        <f t="shared" si="3"/>
        <v>695667.54999999993</v>
      </c>
      <c r="F31" s="121">
        <f t="shared" si="3"/>
        <v>653325.79999999993</v>
      </c>
      <c r="G31" s="121">
        <f t="shared" si="3"/>
        <v>595535.72</v>
      </c>
      <c r="H31" s="121">
        <f t="shared" si="3"/>
        <v>577869.49</v>
      </c>
      <c r="I31" s="121">
        <f>SUM(I26:I30)</f>
        <v>4597766.8900000006</v>
      </c>
      <c r="J31" s="111"/>
      <c r="K31" s="146"/>
      <c r="L31" s="151"/>
      <c r="M31" s="15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</row>
    <row r="32" spans="1:25" s="112" customFormat="1" ht="17.100000000000001" customHeight="1">
      <c r="A32" s="111"/>
      <c r="B32" s="163" t="s">
        <v>14</v>
      </c>
      <c r="C32" s="164">
        <f>C21-C31</f>
        <v>318046.2899999998</v>
      </c>
      <c r="D32" s="164">
        <f>D21-D31</f>
        <v>838944.32000000018</v>
      </c>
      <c r="E32" s="164">
        <f t="shared" ref="E32:H32" si="4">E21-E31</f>
        <v>346057.74000000022</v>
      </c>
      <c r="F32" s="164">
        <f t="shared" si="4"/>
        <v>1441695.4299999997</v>
      </c>
      <c r="G32" s="164">
        <f t="shared" si="4"/>
        <v>305353.90000000014</v>
      </c>
      <c r="H32" s="164">
        <f t="shared" si="4"/>
        <v>625460.8200000003</v>
      </c>
      <c r="I32" s="159">
        <f>I21-I31</f>
        <v>3875558.5</v>
      </c>
      <c r="J32" s="111"/>
      <c r="K32" s="146"/>
      <c r="L32" s="151"/>
      <c r="M32" s="15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</row>
    <row r="33" spans="1:25" ht="15.75" customHeight="1">
      <c r="A33" s="106"/>
      <c r="B33" s="106"/>
      <c r="C33" s="106"/>
      <c r="D33" s="106"/>
      <c r="E33" s="106"/>
      <c r="F33" s="106"/>
      <c r="G33" s="109"/>
      <c r="H33" s="109"/>
      <c r="I33" s="109"/>
      <c r="J33" s="106"/>
      <c r="K33" s="147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s="112" customFormat="1" ht="15.75" customHeight="1">
      <c r="A34" s="111"/>
      <c r="B34" s="362" t="s">
        <v>15</v>
      </c>
      <c r="C34" s="363"/>
      <c r="D34" s="363"/>
      <c r="E34" s="363"/>
      <c r="F34" s="363"/>
      <c r="G34" s="363"/>
      <c r="H34" s="363"/>
      <c r="I34" s="364"/>
      <c r="J34" s="111"/>
      <c r="K34" s="146"/>
      <c r="L34" s="151"/>
      <c r="M34" s="15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</row>
    <row r="35" spans="1:25" s="112" customFormat="1" ht="15.75" customHeight="1">
      <c r="A35" s="111"/>
      <c r="B35" s="350" t="s">
        <v>16</v>
      </c>
      <c r="C35" s="351"/>
      <c r="D35" s="351"/>
      <c r="E35" s="351"/>
      <c r="F35" s="351"/>
      <c r="G35" s="351"/>
      <c r="H35" s="351"/>
      <c r="I35" s="365"/>
      <c r="J35" s="111"/>
      <c r="K35" s="146"/>
      <c r="L35" s="151"/>
      <c r="M35" s="15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</row>
    <row r="36" spans="1:25" ht="15.75" customHeight="1">
      <c r="A36" s="106"/>
      <c r="B36" s="352"/>
      <c r="C36" s="353"/>
      <c r="D36" s="353"/>
      <c r="E36" s="353"/>
      <c r="F36" s="353"/>
      <c r="G36" s="353"/>
      <c r="H36" s="353"/>
      <c r="I36" s="366"/>
      <c r="J36" s="106"/>
      <c r="K36" s="147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1:25" ht="15.75" customHeight="1">
      <c r="A37" s="106"/>
      <c r="B37" s="153" t="s">
        <v>17</v>
      </c>
      <c r="C37" s="165"/>
      <c r="D37" s="165"/>
      <c r="E37" s="165"/>
      <c r="F37" s="165"/>
      <c r="G37" s="154"/>
      <c r="H37" s="154"/>
      <c r="I37" s="130" t="s">
        <v>2</v>
      </c>
      <c r="J37" s="147"/>
      <c r="K37" s="15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</row>
    <row r="38" spans="1:25" ht="15.75" customHeight="1">
      <c r="A38" s="106"/>
      <c r="B38" s="136" t="s">
        <v>180</v>
      </c>
      <c r="C38" s="166"/>
      <c r="D38" s="166"/>
      <c r="E38" s="166"/>
      <c r="F38" s="166"/>
      <c r="G38" s="155"/>
      <c r="H38" s="155"/>
      <c r="I38" s="161">
        <v>0</v>
      </c>
      <c r="J38" s="147"/>
      <c r="K38" s="151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</row>
    <row r="39" spans="1:25" ht="15.75" customHeight="1">
      <c r="A39" s="106"/>
      <c r="B39" s="136" t="s">
        <v>181</v>
      </c>
      <c r="C39" s="166"/>
      <c r="D39" s="166"/>
      <c r="E39" s="166"/>
      <c r="F39" s="166"/>
      <c r="G39" s="155"/>
      <c r="H39" s="155"/>
      <c r="I39" s="161">
        <v>0</v>
      </c>
      <c r="J39" s="147"/>
      <c r="K39" s="151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</row>
    <row r="40" spans="1:25" ht="15.75" customHeight="1">
      <c r="A40" s="106"/>
      <c r="B40" s="136" t="s">
        <v>132</v>
      </c>
      <c r="C40" s="166"/>
      <c r="D40" s="166"/>
      <c r="E40" s="166"/>
      <c r="F40" s="166"/>
      <c r="G40" s="155"/>
      <c r="H40" s="155"/>
      <c r="I40" s="161">
        <v>0</v>
      </c>
      <c r="J40" s="147"/>
      <c r="K40" s="15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</row>
    <row r="41" spans="1:25" ht="15.75" customHeight="1">
      <c r="A41" s="106"/>
      <c r="B41" s="136" t="s">
        <v>20</v>
      </c>
      <c r="C41" s="166"/>
      <c r="D41" s="166"/>
      <c r="E41" s="166"/>
      <c r="F41" s="166"/>
      <c r="G41" s="155"/>
      <c r="H41" s="155"/>
      <c r="I41" s="161">
        <v>195777.35</v>
      </c>
      <c r="J41" s="147"/>
      <c r="K41" s="151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</row>
    <row r="42" spans="1:25" ht="15.75" customHeight="1">
      <c r="A42" s="106"/>
      <c r="B42" s="136" t="s">
        <v>21</v>
      </c>
      <c r="C42" s="166"/>
      <c r="D42" s="166"/>
      <c r="E42" s="166"/>
      <c r="F42" s="166"/>
      <c r="G42" s="155"/>
      <c r="H42" s="155"/>
      <c r="I42" s="161">
        <v>18142.63</v>
      </c>
      <c r="J42" s="147"/>
      <c r="K42" s="151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</row>
    <row r="43" spans="1:25" ht="15.75" customHeight="1">
      <c r="A43" s="106"/>
      <c r="B43" s="136" t="s">
        <v>22</v>
      </c>
      <c r="C43" s="166"/>
      <c r="D43" s="166"/>
      <c r="E43" s="166"/>
      <c r="F43" s="166"/>
      <c r="G43" s="155"/>
      <c r="H43" s="155"/>
      <c r="I43" s="161">
        <v>343.32</v>
      </c>
      <c r="J43" s="147"/>
      <c r="K43" s="151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</row>
    <row r="44" spans="1:25" ht="15.75" customHeight="1">
      <c r="A44" s="106"/>
      <c r="B44" s="153" t="s">
        <v>23</v>
      </c>
      <c r="C44" s="165"/>
      <c r="D44" s="165"/>
      <c r="E44" s="165"/>
      <c r="F44" s="165"/>
      <c r="G44" s="154"/>
      <c r="H44" s="154"/>
      <c r="I44" s="160">
        <f>SUM(I38:I43)</f>
        <v>214263.30000000002</v>
      </c>
      <c r="J44" s="147"/>
      <c r="K44" s="151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5" ht="15.75" customHeight="1">
      <c r="A45" s="106"/>
      <c r="B45" s="157"/>
      <c r="C45" s="106"/>
      <c r="D45" s="106"/>
      <c r="E45" s="106"/>
      <c r="F45" s="106"/>
      <c r="G45" s="150"/>
      <c r="H45" s="150"/>
      <c r="I45" s="150"/>
      <c r="J45" s="147"/>
      <c r="K45" s="151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5" ht="15.75" customHeight="1">
      <c r="A46" s="106"/>
      <c r="B46" s="153" t="s">
        <v>24</v>
      </c>
      <c r="C46" s="165"/>
      <c r="D46" s="165"/>
      <c r="E46" s="165"/>
      <c r="F46" s="165"/>
      <c r="G46" s="154"/>
      <c r="H46" s="154"/>
      <c r="I46" s="130" t="s">
        <v>2</v>
      </c>
      <c r="J46" s="147"/>
      <c r="K46" s="151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</row>
    <row r="47" spans="1:25" ht="15.75" customHeight="1">
      <c r="A47" s="106"/>
      <c r="B47" s="136" t="s">
        <v>25</v>
      </c>
      <c r="C47" s="166"/>
      <c r="D47" s="166"/>
      <c r="E47" s="166"/>
      <c r="F47" s="166"/>
      <c r="G47" s="155"/>
      <c r="H47" s="155"/>
      <c r="I47" s="161">
        <v>38402537.390000001</v>
      </c>
      <c r="J47" s="148"/>
      <c r="K47" s="151"/>
      <c r="M47" s="108"/>
    </row>
    <row r="48" spans="1:25" ht="15.75" customHeight="1">
      <c r="B48" s="136" t="s">
        <v>26</v>
      </c>
      <c r="C48" s="166"/>
      <c r="D48" s="166"/>
      <c r="E48" s="166"/>
      <c r="F48" s="166"/>
      <c r="G48" s="155"/>
      <c r="H48" s="155"/>
      <c r="I48" s="161">
        <v>13319237.359999999</v>
      </c>
      <c r="J48" s="148"/>
      <c r="K48" s="151"/>
      <c r="M48" s="108"/>
    </row>
    <row r="49" spans="2:13" ht="15.75" customHeight="1">
      <c r="B49" s="136" t="s">
        <v>27</v>
      </c>
      <c r="C49" s="166"/>
      <c r="D49" s="166"/>
      <c r="E49" s="166"/>
      <c r="F49" s="166"/>
      <c r="G49" s="155"/>
      <c r="H49" s="155"/>
      <c r="I49" s="161">
        <v>0</v>
      </c>
      <c r="J49" s="148"/>
      <c r="K49" s="151"/>
      <c r="M49" s="108"/>
    </row>
    <row r="50" spans="2:13" ht="15.75" customHeight="1">
      <c r="B50" s="136" t="s">
        <v>131</v>
      </c>
      <c r="C50" s="166"/>
      <c r="D50" s="166"/>
      <c r="E50" s="166"/>
      <c r="F50" s="166"/>
      <c r="G50" s="155"/>
      <c r="H50" s="155"/>
      <c r="I50" s="161">
        <v>242240.9</v>
      </c>
      <c r="J50" s="148"/>
      <c r="K50" s="151"/>
      <c r="M50" s="108"/>
    </row>
    <row r="51" spans="2:13" ht="15.75" customHeight="1">
      <c r="B51" s="153" t="s">
        <v>28</v>
      </c>
      <c r="C51" s="165"/>
      <c r="D51" s="165"/>
      <c r="E51" s="165"/>
      <c r="F51" s="165"/>
      <c r="G51" s="154"/>
      <c r="H51" s="154"/>
      <c r="I51" s="160">
        <f>SUM(I47:I50)-I44</f>
        <v>51749752.350000001</v>
      </c>
      <c r="J51" s="148"/>
      <c r="K51" s="151"/>
      <c r="M51" s="108"/>
    </row>
    <row r="52" spans="2:13" ht="15.75" customHeight="1">
      <c r="B52" s="158"/>
      <c r="C52" s="131"/>
      <c r="D52" s="131"/>
      <c r="E52" s="131"/>
      <c r="F52" s="131"/>
      <c r="G52" s="132"/>
      <c r="H52" s="132"/>
      <c r="I52" s="155"/>
      <c r="J52" s="148"/>
      <c r="K52" s="151"/>
      <c r="M52" s="108"/>
    </row>
    <row r="53" spans="2:13" ht="15.75" customHeight="1">
      <c r="B53" s="133" t="s">
        <v>29</v>
      </c>
      <c r="C53" s="167"/>
      <c r="D53" s="167"/>
      <c r="E53" s="167"/>
      <c r="F53" s="167"/>
      <c r="G53" s="156"/>
      <c r="H53" s="156"/>
      <c r="I53" s="162">
        <f>I51+I44</f>
        <v>51964015.649999999</v>
      </c>
      <c r="J53" s="148"/>
      <c r="K53" s="151"/>
      <c r="M53" s="108"/>
    </row>
    <row r="54" spans="2:13" ht="15.75" customHeight="1">
      <c r="B54" s="106"/>
      <c r="C54" s="106"/>
      <c r="D54" s="106"/>
      <c r="E54" s="106"/>
      <c r="F54" s="106"/>
      <c r="G54" s="109"/>
      <c r="H54" s="109"/>
      <c r="I54" s="109"/>
    </row>
    <row r="55" spans="2:13" ht="15.75" customHeight="1">
      <c r="B55" s="106"/>
      <c r="C55" s="106"/>
      <c r="D55" s="106"/>
      <c r="E55" s="106"/>
      <c r="F55" s="106"/>
      <c r="G55" s="109"/>
      <c r="H55" s="109"/>
      <c r="I55" s="109"/>
    </row>
    <row r="56" spans="2:13" ht="15.75" customHeight="1">
      <c r="B56" s="106"/>
      <c r="C56" s="106"/>
      <c r="D56" s="106"/>
      <c r="E56" s="106"/>
      <c r="F56" s="106"/>
      <c r="G56" s="109"/>
      <c r="H56" s="109"/>
      <c r="I56" s="109"/>
    </row>
    <row r="57" spans="2:13" ht="15.75" customHeight="1">
      <c r="B57" s="106"/>
      <c r="C57" s="106"/>
      <c r="D57" s="106"/>
      <c r="E57" s="106"/>
      <c r="F57" s="106"/>
      <c r="G57" s="109"/>
      <c r="H57" s="109"/>
      <c r="I57" s="109"/>
    </row>
    <row r="58" spans="2:13" ht="15.75" customHeight="1">
      <c r="B58" s="106"/>
      <c r="C58" s="106"/>
      <c r="D58" s="106"/>
      <c r="E58" s="106"/>
      <c r="F58" s="106"/>
      <c r="G58" s="109"/>
      <c r="H58" s="109"/>
      <c r="I58" s="109"/>
    </row>
    <row r="59" spans="2:13" ht="15.75" customHeight="1">
      <c r="B59" s="106"/>
      <c r="C59" s="106"/>
      <c r="D59" s="106"/>
      <c r="E59" s="106"/>
      <c r="F59" s="106"/>
      <c r="G59" s="106"/>
      <c r="H59" s="106"/>
    </row>
    <row r="60" spans="2:13" ht="15.75" customHeight="1">
      <c r="B60" s="106"/>
      <c r="C60" s="106"/>
      <c r="D60" s="106"/>
      <c r="E60" s="106"/>
      <c r="F60" s="106"/>
      <c r="G60" s="106"/>
      <c r="H60" s="106"/>
    </row>
    <row r="61" spans="2:13" ht="15.75" customHeight="1">
      <c r="B61" s="106"/>
      <c r="C61" s="106"/>
      <c r="D61" s="106"/>
      <c r="E61" s="106"/>
      <c r="F61" s="106"/>
      <c r="G61" s="106"/>
      <c r="H61" s="106"/>
    </row>
  </sheetData>
  <mergeCells count="5">
    <mergeCell ref="B3:I3"/>
    <mergeCell ref="B7:I8"/>
    <mergeCell ref="B23:I24"/>
    <mergeCell ref="B34:I34"/>
    <mergeCell ref="B35:I36"/>
  </mergeCells>
  <pageMargins left="0.25" right="0.25" top="0.75" bottom="0.75" header="0.3" footer="0.3"/>
  <pageSetup paperSize="9" scale="37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61"/>
  <sheetViews>
    <sheetView showGridLines="0" workbookViewId="0">
      <selection activeCell="C26" sqref="C26:I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08" customWidth="1"/>
    <col min="4" max="4" width="19.5703125" style="108" bestFit="1" customWidth="1"/>
    <col min="5" max="6" width="18.7109375" style="108" bestFit="1" customWidth="1"/>
    <col min="7" max="7" width="21.42578125" style="108" customWidth="1"/>
    <col min="8" max="10" width="20" style="108" bestFit="1" customWidth="1"/>
    <col min="11" max="11" width="6.85546875" style="108" customWidth="1"/>
    <col min="12" max="12" width="18.42578125" style="148" bestFit="1" customWidth="1"/>
    <col min="13" max="13" width="14.7109375" style="151" bestFit="1" customWidth="1"/>
    <col min="14" max="14" width="13.5703125" style="151" bestFit="1" customWidth="1"/>
    <col min="15" max="26" width="9.5703125" style="108" customWidth="1"/>
    <col min="27" max="1030" width="9.42578125" style="108" customWidth="1"/>
    <col min="1031" max="16384" width="9.140625" style="108"/>
  </cols>
  <sheetData>
    <row r="1" spans="1:26" ht="15.75" customHeight="1">
      <c r="A1" s="106" t="s">
        <v>118</v>
      </c>
      <c r="B1" s="106"/>
      <c r="C1" s="106"/>
      <c r="D1" s="106"/>
      <c r="E1" s="106"/>
      <c r="F1" s="106"/>
      <c r="G1" s="106"/>
      <c r="H1" s="109"/>
      <c r="I1" s="109"/>
      <c r="J1" s="109"/>
      <c r="K1" s="106"/>
      <c r="L1" s="144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5.75" customHeight="1">
      <c r="A2" s="106"/>
      <c r="B2" s="106"/>
      <c r="C2" s="106"/>
      <c r="D2" s="106"/>
      <c r="E2" s="106"/>
      <c r="F2" s="106"/>
      <c r="G2" s="106"/>
      <c r="H2" s="109"/>
      <c r="I2" s="109"/>
      <c r="J2" s="109"/>
      <c r="K2" s="106"/>
      <c r="L2" s="144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5.75" customHeight="1">
      <c r="A3" s="106"/>
      <c r="B3" s="367" t="s">
        <v>173</v>
      </c>
      <c r="C3" s="367"/>
      <c r="D3" s="367"/>
      <c r="E3" s="367"/>
      <c r="F3" s="367"/>
      <c r="G3" s="367"/>
      <c r="H3" s="367"/>
      <c r="I3" s="367"/>
      <c r="J3" s="367"/>
      <c r="K3" s="106"/>
      <c r="L3" s="144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5.75" customHeight="1">
      <c r="A4" s="106"/>
      <c r="B4" s="106"/>
      <c r="C4" s="106"/>
      <c r="D4" s="106"/>
      <c r="E4" s="106"/>
      <c r="F4" s="106"/>
      <c r="G4" s="106"/>
      <c r="H4" s="109"/>
      <c r="I4" s="109"/>
      <c r="J4" s="109"/>
      <c r="K4" s="106"/>
      <c r="L4" s="144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15.75" customHeight="1">
      <c r="A5" s="106"/>
      <c r="B5" s="106"/>
      <c r="C5" s="106"/>
      <c r="D5" s="106"/>
      <c r="E5" s="106"/>
      <c r="F5" s="106"/>
      <c r="G5" s="106"/>
      <c r="H5" s="109"/>
      <c r="I5" s="109"/>
      <c r="J5" s="109"/>
      <c r="K5" s="106"/>
      <c r="L5" s="144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s="141" customFormat="1" ht="24.95" customHeight="1">
      <c r="A6" s="140"/>
      <c r="B6" s="139" t="s">
        <v>0</v>
      </c>
      <c r="C6" s="139" t="s">
        <v>77</v>
      </c>
      <c r="D6" s="139" t="s">
        <v>69</v>
      </c>
      <c r="E6" s="139" t="s">
        <v>61</v>
      </c>
      <c r="F6" s="139" t="s">
        <v>53</v>
      </c>
      <c r="G6" s="139" t="s">
        <v>44</v>
      </c>
      <c r="H6" s="139" t="s">
        <v>151</v>
      </c>
      <c r="I6" s="139" t="s">
        <v>31</v>
      </c>
      <c r="J6" s="139">
        <v>2022</v>
      </c>
      <c r="K6" s="140"/>
      <c r="L6" s="145"/>
      <c r="M6" s="151"/>
      <c r="N6" s="151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s="112" customFormat="1" ht="15.75" customHeight="1">
      <c r="A7" s="111"/>
      <c r="B7" s="350" t="s">
        <v>127</v>
      </c>
      <c r="C7" s="351"/>
      <c r="D7" s="351"/>
      <c r="E7" s="351"/>
      <c r="F7" s="351"/>
      <c r="G7" s="351"/>
      <c r="H7" s="351"/>
      <c r="I7" s="351"/>
      <c r="J7" s="351"/>
      <c r="K7" s="111"/>
      <c r="L7" s="146"/>
      <c r="M7" s="151"/>
      <c r="N7" s="15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spans="1:26" s="142" customFormat="1" ht="15.75" customHeight="1">
      <c r="A8" s="111"/>
      <c r="B8" s="352"/>
      <c r="C8" s="353"/>
      <c r="D8" s="353"/>
      <c r="E8" s="353"/>
      <c r="F8" s="353"/>
      <c r="G8" s="353"/>
      <c r="H8" s="353"/>
      <c r="I8" s="353"/>
      <c r="J8" s="353"/>
      <c r="K8" s="111"/>
      <c r="L8" s="146"/>
      <c r="M8" s="151"/>
      <c r="N8" s="15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</row>
    <row r="9" spans="1:26" s="142" customFormat="1" ht="15.75" customHeight="1">
      <c r="A9" s="111"/>
      <c r="B9" s="118" t="s">
        <v>120</v>
      </c>
      <c r="C9" s="118"/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1"/>
      <c r="L9" s="146"/>
      <c r="M9" s="151"/>
      <c r="N9" s="15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</row>
    <row r="10" spans="1:26" ht="17.100000000000001" customHeight="1">
      <c r="A10" s="106"/>
      <c r="B10" s="136" t="s">
        <v>3</v>
      </c>
      <c r="C10" s="168">
        <v>595267.09</v>
      </c>
      <c r="D10" s="168">
        <v>727581.54</v>
      </c>
      <c r="E10" s="168">
        <v>524966.87</v>
      </c>
      <c r="F10" s="168">
        <v>535990.88</v>
      </c>
      <c r="G10" s="168">
        <v>636880.65</v>
      </c>
      <c r="H10" s="138">
        <v>358179.72</v>
      </c>
      <c r="I10" s="138">
        <f>467985.07+2546.27</f>
        <v>470531.34</v>
      </c>
      <c r="J10" s="138">
        <f>SUM(C10:I10)</f>
        <v>3849398.09</v>
      </c>
      <c r="K10" s="106"/>
      <c r="L10" s="147"/>
      <c r="M10" s="152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17.100000000000001" customHeight="1">
      <c r="A11" s="106"/>
      <c r="B11" s="114" t="s">
        <v>4</v>
      </c>
      <c r="C11" s="169">
        <v>378856.21</v>
      </c>
      <c r="D11" s="169">
        <v>463056.11</v>
      </c>
      <c r="E11" s="169">
        <v>487801.26</v>
      </c>
      <c r="F11" s="169">
        <v>189358.6</v>
      </c>
      <c r="G11" s="169">
        <v>405387.8</v>
      </c>
      <c r="H11" s="135">
        <v>227932.55</v>
      </c>
      <c r="I11" s="135">
        <v>452327.34</v>
      </c>
      <c r="J11" s="138">
        <f t="shared" ref="J11:J20" si="0">SUM(C11:I11)</f>
        <v>2604719.87</v>
      </c>
      <c r="K11" s="106"/>
      <c r="L11" s="147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17.100000000000001" customHeight="1">
      <c r="A12" s="106"/>
      <c r="B12" s="114" t="s">
        <v>187</v>
      </c>
      <c r="C12" s="171">
        <v>263303.75</v>
      </c>
      <c r="D12" s="171">
        <v>263303.75</v>
      </c>
      <c r="E12" s="171">
        <v>126693.92</v>
      </c>
      <c r="F12" s="171">
        <v>126693.92</v>
      </c>
      <c r="G12" s="170">
        <v>126693.92</v>
      </c>
      <c r="H12" s="115">
        <v>126693.92</v>
      </c>
      <c r="I12" s="115">
        <v>126693.92</v>
      </c>
      <c r="J12" s="138">
        <f t="shared" si="0"/>
        <v>1160077.1000000001</v>
      </c>
      <c r="K12" s="106"/>
      <c r="L12" s="147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17.100000000000001" customHeight="1">
      <c r="A13" s="106"/>
      <c r="B13" s="114" t="s">
        <v>6</v>
      </c>
      <c r="C13" s="171">
        <v>421416.32</v>
      </c>
      <c r="D13" s="171">
        <v>-84090.74</v>
      </c>
      <c r="E13" s="171">
        <v>505838.52</v>
      </c>
      <c r="F13" s="171">
        <v>16001.38</v>
      </c>
      <c r="G13" s="171">
        <v>809918.94</v>
      </c>
      <c r="H13" s="115">
        <v>98226.79</v>
      </c>
      <c r="I13" s="115">
        <v>38967.99</v>
      </c>
      <c r="J13" s="138">
        <f t="shared" si="0"/>
        <v>1806279.2</v>
      </c>
      <c r="L13" s="147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17.100000000000001" customHeight="1">
      <c r="A14" s="106"/>
      <c r="B14" s="114" t="s">
        <v>188</v>
      </c>
      <c r="C14" s="171">
        <v>57607.77</v>
      </c>
      <c r="D14" s="171">
        <v>57349.7</v>
      </c>
      <c r="E14" s="171">
        <v>56759.4</v>
      </c>
      <c r="F14" s="171">
        <v>55805.13</v>
      </c>
      <c r="G14" s="171">
        <v>55252.6</v>
      </c>
      <c r="H14" s="115">
        <v>54884.88</v>
      </c>
      <c r="I14" s="115">
        <v>54487.12</v>
      </c>
      <c r="J14" s="138">
        <f t="shared" si="0"/>
        <v>392146.6</v>
      </c>
      <c r="K14" s="106"/>
      <c r="L14" s="147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15">
        <v>23811.51</v>
      </c>
      <c r="J15" s="138">
        <f t="shared" si="0"/>
        <v>23811.51</v>
      </c>
      <c r="K15" s="106"/>
      <c r="L15" s="147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7.100000000000001" customHeight="1">
      <c r="A16" s="106"/>
      <c r="B16" s="114" t="s">
        <v>190</v>
      </c>
      <c r="C16" s="171">
        <v>12742.8</v>
      </c>
      <c r="D16" s="171">
        <v>12621.89</v>
      </c>
      <c r="E16" s="171">
        <v>12430.62</v>
      </c>
      <c r="F16" s="171">
        <v>12368.92</v>
      </c>
      <c r="G16" s="171">
        <v>11980.7</v>
      </c>
      <c r="H16" s="115">
        <v>11840.9</v>
      </c>
      <c r="I16" s="115">
        <v>11697.01</v>
      </c>
      <c r="J16" s="138">
        <f t="shared" si="0"/>
        <v>85682.839999999982</v>
      </c>
      <c r="K16" s="106"/>
      <c r="L16" s="147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7.100000000000001" customHeight="1">
      <c r="A17" s="106"/>
      <c r="B17" s="114" t="s">
        <v>191</v>
      </c>
      <c r="C17" s="171">
        <v>5312.52</v>
      </c>
      <c r="D17" s="171">
        <v>5262.12</v>
      </c>
      <c r="E17" s="171">
        <v>5182.37</v>
      </c>
      <c r="F17" s="171">
        <v>5156.6499999999996</v>
      </c>
      <c r="G17" s="171">
        <v>4994.8</v>
      </c>
      <c r="H17" s="115">
        <v>4936.5200000000004</v>
      </c>
      <c r="I17" s="115">
        <v>4876.53</v>
      </c>
      <c r="J17" s="138">
        <f t="shared" si="0"/>
        <v>35721.509999999995</v>
      </c>
      <c r="K17" s="106"/>
      <c r="L17" s="147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7.100000000000001" customHeight="1">
      <c r="A18" s="106"/>
      <c r="B18" s="114" t="s">
        <v>189</v>
      </c>
      <c r="C18" s="171">
        <v>18201.28</v>
      </c>
      <c r="D18" s="171">
        <v>18028.2</v>
      </c>
      <c r="E18" s="171">
        <v>17753.55</v>
      </c>
      <c r="F18" s="171">
        <v>17665.8</v>
      </c>
      <c r="G18" s="171">
        <v>17111.64</v>
      </c>
      <c r="H18" s="115">
        <v>17026.22</v>
      </c>
      <c r="I18" s="115">
        <v>16706.07</v>
      </c>
      <c r="J18" s="138">
        <f t="shared" si="0"/>
        <v>122492.76000000001</v>
      </c>
      <c r="K18" s="106"/>
      <c r="L18" s="147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82684.009999999995</v>
      </c>
      <c r="G19" s="171">
        <v>11242.71</v>
      </c>
      <c r="H19" s="115">
        <v>0</v>
      </c>
      <c r="I19" s="115">
        <v>0</v>
      </c>
      <c r="J19" s="138">
        <f t="shared" si="0"/>
        <v>127654.84999999998</v>
      </c>
      <c r="K19" s="106"/>
      <c r="L19" s="147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(1168.12*2)+(1943.36*2)</f>
        <v>6222.9599999999991</v>
      </c>
      <c r="F20" s="171">
        <v>0</v>
      </c>
      <c r="G20" s="171">
        <v>15557.47</v>
      </c>
      <c r="H20" s="115">
        <v>1168.1199999999999</v>
      </c>
      <c r="I20" s="115">
        <v>3231.48</v>
      </c>
      <c r="J20" s="138">
        <f t="shared" si="0"/>
        <v>32402.989999999998</v>
      </c>
      <c r="K20" s="106"/>
      <c r="L20" s="147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s="112" customFormat="1" ht="15.75" customHeight="1">
      <c r="A21" s="111"/>
      <c r="B21" s="116" t="s">
        <v>9</v>
      </c>
      <c r="C21" s="117">
        <f t="shared" ref="C21:I21" si="1">SUM(C10:C20)</f>
        <v>1767061.9300000002</v>
      </c>
      <c r="D21" s="117">
        <f t="shared" si="1"/>
        <v>1477466.7599999998</v>
      </c>
      <c r="E21" s="117">
        <f t="shared" si="1"/>
        <v>1754892.1800000002</v>
      </c>
      <c r="F21" s="117">
        <f t="shared" si="1"/>
        <v>1041725.2900000002</v>
      </c>
      <c r="G21" s="117">
        <f t="shared" si="1"/>
        <v>2095021.2299999997</v>
      </c>
      <c r="H21" s="117">
        <f t="shared" si="1"/>
        <v>900889.62000000011</v>
      </c>
      <c r="I21" s="117">
        <f t="shared" si="1"/>
        <v>1203330.3100000003</v>
      </c>
      <c r="J21" s="117">
        <f>SUM(J10:J20)</f>
        <v>10240387.319999998</v>
      </c>
      <c r="K21" s="111"/>
      <c r="L21" s="146"/>
      <c r="M21" s="151"/>
      <c r="N21" s="15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 spans="1:26" ht="15.75" customHeight="1">
      <c r="A22" s="106"/>
      <c r="B22" s="106"/>
      <c r="C22" s="106"/>
      <c r="D22" s="106"/>
      <c r="E22" s="106"/>
      <c r="F22" s="106"/>
      <c r="G22" s="106"/>
      <c r="H22" s="109"/>
      <c r="I22" s="109"/>
      <c r="J22" s="109"/>
      <c r="K22" s="106"/>
      <c r="L22" s="147" t="s">
        <v>118</v>
      </c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s="112" customFormat="1" ht="15.75" customHeight="1">
      <c r="A23" s="111"/>
      <c r="B23" s="350" t="s">
        <v>128</v>
      </c>
      <c r="C23" s="351"/>
      <c r="D23" s="351"/>
      <c r="E23" s="351"/>
      <c r="F23" s="351"/>
      <c r="G23" s="351"/>
      <c r="H23" s="351"/>
      <c r="I23" s="351"/>
      <c r="J23" s="351"/>
      <c r="K23" s="111"/>
      <c r="L23" s="146"/>
      <c r="M23" s="151"/>
      <c r="N23" s="15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</row>
    <row r="24" spans="1:26" ht="15.75" customHeight="1">
      <c r="A24" s="106"/>
      <c r="B24" s="352"/>
      <c r="C24" s="353"/>
      <c r="D24" s="353"/>
      <c r="E24" s="353"/>
      <c r="F24" s="353"/>
      <c r="G24" s="353"/>
      <c r="H24" s="353"/>
      <c r="I24" s="353"/>
      <c r="J24" s="353"/>
      <c r="K24" s="106"/>
      <c r="L24" s="147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06"/>
      <c r="L25" s="147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17.100000000000001" customHeight="1">
      <c r="A26" s="106"/>
      <c r="B26" s="114" t="s">
        <v>172</v>
      </c>
      <c r="C26" s="171">
        <v>617621.43000000005</v>
      </c>
      <c r="D26" s="179">
        <v>925293.45</v>
      </c>
      <c r="E26" s="179">
        <v>755023.19</v>
      </c>
      <c r="F26" s="179">
        <v>548127.35</v>
      </c>
      <c r="G26" s="179">
        <v>542075.24</v>
      </c>
      <c r="H26" s="189">
        <v>495470.49</v>
      </c>
      <c r="I26" s="115">
        <v>487626.13</v>
      </c>
      <c r="J26" s="115">
        <f>SUM(C26:I26)</f>
        <v>4371237.28</v>
      </c>
      <c r="K26" s="106"/>
      <c r="L26" s="147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17.100000000000001" customHeight="1">
      <c r="A27" s="106"/>
      <c r="B27" s="114" t="s">
        <v>116</v>
      </c>
      <c r="C27" s="171">
        <v>64433.17</v>
      </c>
      <c r="D27" s="179">
        <v>97154.79</v>
      </c>
      <c r="E27" s="179">
        <v>67044.08</v>
      </c>
      <c r="F27" s="179">
        <v>64945.72</v>
      </c>
      <c r="G27" s="179">
        <v>64945.72</v>
      </c>
      <c r="H27" s="189">
        <v>63584.02</v>
      </c>
      <c r="I27" s="115">
        <v>65481.06</v>
      </c>
      <c r="J27" s="115">
        <f t="shared" ref="J27:J30" si="2">SUM(C27:I27)</f>
        <v>487588.56</v>
      </c>
      <c r="K27" s="106"/>
      <c r="L27" s="147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17.100000000000001" customHeight="1">
      <c r="A28" s="106"/>
      <c r="B28" s="114" t="s">
        <v>171</v>
      </c>
      <c r="C28" s="191">
        <v>38537.58</v>
      </c>
      <c r="D28" s="191">
        <v>46269.5</v>
      </c>
      <c r="E28" s="191">
        <v>40256.519999999997</v>
      </c>
      <c r="F28" s="191">
        <v>27034.39</v>
      </c>
      <c r="G28" s="191">
        <v>24052.01</v>
      </c>
      <c r="H28" s="190">
        <v>21886.080000000002</v>
      </c>
      <c r="I28" s="119">
        <v>17676.18</v>
      </c>
      <c r="J28" s="115">
        <f t="shared" si="2"/>
        <v>215712.26</v>
      </c>
      <c r="K28" s="106"/>
      <c r="L28" s="147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17.100000000000001" customHeight="1">
      <c r="A29" s="106"/>
      <c r="B29" s="114" t="s">
        <v>193</v>
      </c>
      <c r="C29" s="179">
        <v>1277.42</v>
      </c>
      <c r="D29" s="179">
        <f>1531.08</f>
        <v>1531.08</v>
      </c>
      <c r="E29" s="179">
        <v>16262.03</v>
      </c>
      <c r="F29" s="179">
        <v>0</v>
      </c>
      <c r="G29" s="179">
        <v>0</v>
      </c>
      <c r="H29" s="189">
        <v>0</v>
      </c>
      <c r="I29" s="115">
        <v>0</v>
      </c>
      <c r="J29" s="115">
        <f t="shared" si="2"/>
        <v>19070.53</v>
      </c>
      <c r="K29" s="106"/>
      <c r="L29" s="147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17.100000000000001" customHeight="1">
      <c r="A30" s="106"/>
      <c r="B30" s="114" t="s">
        <v>130</v>
      </c>
      <c r="C30" s="172">
        <v>46552.78</v>
      </c>
      <c r="D30" s="191">
        <v>89171.65</v>
      </c>
      <c r="E30" s="191">
        <v>37362.04</v>
      </c>
      <c r="F30" s="191">
        <v>55560.09</v>
      </c>
      <c r="G30" s="191">
        <v>22252.83</v>
      </c>
      <c r="H30" s="190">
        <v>14595.13</v>
      </c>
      <c r="I30" s="119">
        <v>7086.12</v>
      </c>
      <c r="J30" s="115">
        <f t="shared" si="2"/>
        <v>272580.64</v>
      </c>
      <c r="K30" s="106"/>
      <c r="L30" s="147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s="112" customFormat="1" ht="17.100000000000001" customHeight="1">
      <c r="A31" s="111"/>
      <c r="B31" s="120" t="s">
        <v>84</v>
      </c>
      <c r="C31" s="121">
        <f t="shared" ref="C31:I31" si="3">SUM(C26:C30)</f>
        <v>768422.38000000012</v>
      </c>
      <c r="D31" s="121">
        <f t="shared" si="3"/>
        <v>1159420.47</v>
      </c>
      <c r="E31" s="121">
        <f t="shared" si="3"/>
        <v>915947.86</v>
      </c>
      <c r="F31" s="121">
        <f t="shared" si="3"/>
        <v>695667.54999999993</v>
      </c>
      <c r="G31" s="121">
        <f t="shared" si="3"/>
        <v>653325.79999999993</v>
      </c>
      <c r="H31" s="121">
        <f t="shared" si="3"/>
        <v>595535.72</v>
      </c>
      <c r="I31" s="121">
        <f t="shared" si="3"/>
        <v>577869.49</v>
      </c>
      <c r="J31" s="121">
        <f>SUM(J26:J30)</f>
        <v>5366189.2699999996</v>
      </c>
      <c r="K31" s="111"/>
      <c r="L31" s="146"/>
      <c r="M31" s="151"/>
      <c r="N31" s="15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spans="1:26" s="112" customFormat="1" ht="17.100000000000001" customHeight="1">
      <c r="A32" s="111"/>
      <c r="B32" s="163" t="s">
        <v>14</v>
      </c>
      <c r="C32" s="164">
        <f>C21-C31</f>
        <v>998639.55</v>
      </c>
      <c r="D32" s="164">
        <f>D21-D31</f>
        <v>318046.2899999998</v>
      </c>
      <c r="E32" s="164">
        <f>E21-E31</f>
        <v>838944.32000000018</v>
      </c>
      <c r="F32" s="164">
        <f t="shared" ref="F32:I32" si="4">F21-F31</f>
        <v>346057.74000000022</v>
      </c>
      <c r="G32" s="164">
        <f t="shared" si="4"/>
        <v>1441695.4299999997</v>
      </c>
      <c r="H32" s="164">
        <f t="shared" si="4"/>
        <v>305353.90000000014</v>
      </c>
      <c r="I32" s="164">
        <f t="shared" si="4"/>
        <v>625460.8200000003</v>
      </c>
      <c r="J32" s="159">
        <f>J21-J31</f>
        <v>4874198.0499999989</v>
      </c>
      <c r="K32" s="111"/>
      <c r="L32" s="146"/>
      <c r="M32" s="151"/>
      <c r="N32" s="15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 spans="1:26" ht="15.75" customHeight="1">
      <c r="A33" s="106"/>
      <c r="B33" s="106"/>
      <c r="C33" s="106"/>
      <c r="D33" s="106"/>
      <c r="E33" s="106"/>
      <c r="F33" s="106"/>
      <c r="G33" s="106"/>
      <c r="H33" s="109"/>
      <c r="I33" s="109"/>
      <c r="J33" s="109"/>
      <c r="K33" s="106"/>
      <c r="L33" s="147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s="112" customFormat="1" ht="15.75" customHeight="1">
      <c r="A34" s="111"/>
      <c r="B34" s="362" t="s">
        <v>15</v>
      </c>
      <c r="C34" s="363"/>
      <c r="D34" s="363"/>
      <c r="E34" s="363"/>
      <c r="F34" s="363"/>
      <c r="G34" s="363"/>
      <c r="H34" s="363"/>
      <c r="I34" s="363"/>
      <c r="J34" s="364"/>
      <c r="K34" s="111"/>
      <c r="L34" s="146"/>
      <c r="M34" s="151"/>
      <c r="N34" s="15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 spans="1:26" s="112" customFormat="1" ht="15.75" customHeight="1">
      <c r="A35" s="111"/>
      <c r="B35" s="350" t="s">
        <v>16</v>
      </c>
      <c r="C35" s="351"/>
      <c r="D35" s="351"/>
      <c r="E35" s="351"/>
      <c r="F35" s="351"/>
      <c r="G35" s="351"/>
      <c r="H35" s="351"/>
      <c r="I35" s="351"/>
      <c r="J35" s="365"/>
      <c r="K35" s="111"/>
      <c r="L35" s="146"/>
      <c r="M35" s="151"/>
      <c r="N35" s="15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</row>
    <row r="36" spans="1:26" ht="15.75" customHeight="1">
      <c r="A36" s="106"/>
      <c r="B36" s="352"/>
      <c r="C36" s="353"/>
      <c r="D36" s="353"/>
      <c r="E36" s="353"/>
      <c r="F36" s="353"/>
      <c r="G36" s="353"/>
      <c r="H36" s="353"/>
      <c r="I36" s="353"/>
      <c r="J36" s="366"/>
      <c r="K36" s="106"/>
      <c r="L36" s="147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15.75" customHeight="1">
      <c r="A37" s="106"/>
      <c r="B37" s="153" t="s">
        <v>17</v>
      </c>
      <c r="C37" s="165"/>
      <c r="D37" s="165"/>
      <c r="E37" s="165"/>
      <c r="F37" s="165"/>
      <c r="G37" s="165"/>
      <c r="H37" s="154"/>
      <c r="I37" s="154"/>
      <c r="J37" s="130" t="s">
        <v>2</v>
      </c>
      <c r="K37" s="147"/>
      <c r="L37" s="151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1:26" ht="15.75" customHeight="1">
      <c r="A38" s="106"/>
      <c r="B38" s="136" t="s">
        <v>180</v>
      </c>
      <c r="C38" s="166"/>
      <c r="D38" s="166"/>
      <c r="E38" s="166"/>
      <c r="F38" s="166"/>
      <c r="G38" s="166"/>
      <c r="H38" s="155"/>
      <c r="I38" s="155"/>
      <c r="J38" s="161">
        <v>0</v>
      </c>
      <c r="K38" s="147"/>
      <c r="L38" s="151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6" ht="15.75" customHeight="1">
      <c r="A39" s="106"/>
      <c r="B39" s="136" t="s">
        <v>181</v>
      </c>
      <c r="C39" s="166"/>
      <c r="D39" s="166"/>
      <c r="E39" s="166"/>
      <c r="F39" s="166"/>
      <c r="G39" s="166"/>
      <c r="H39" s="155"/>
      <c r="I39" s="155"/>
      <c r="J39" s="161">
        <v>0</v>
      </c>
      <c r="K39" s="147"/>
      <c r="L39" s="151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6" ht="15.75" customHeight="1">
      <c r="A40" s="106"/>
      <c r="B40" s="136" t="s">
        <v>132</v>
      </c>
      <c r="C40" s="166"/>
      <c r="D40" s="166"/>
      <c r="E40" s="166"/>
      <c r="F40" s="166"/>
      <c r="G40" s="166"/>
      <c r="H40" s="155"/>
      <c r="I40" s="155"/>
      <c r="J40" s="161">
        <v>0</v>
      </c>
      <c r="K40" s="147"/>
      <c r="L40" s="151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6" ht="15.75" customHeight="1">
      <c r="A41" s="106"/>
      <c r="B41" s="136" t="s">
        <v>20</v>
      </c>
      <c r="C41" s="166"/>
      <c r="D41" s="166"/>
      <c r="E41" s="166"/>
      <c r="F41" s="166"/>
      <c r="G41" s="166"/>
      <c r="H41" s="155"/>
      <c r="I41" s="155"/>
      <c r="J41" s="161">
        <v>270891.3</v>
      </c>
      <c r="K41" s="147"/>
      <c r="L41" s="151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1:26" ht="15.75" customHeight="1">
      <c r="A42" s="106"/>
      <c r="B42" s="136" t="s">
        <v>21</v>
      </c>
      <c r="C42" s="166"/>
      <c r="D42" s="166"/>
      <c r="E42" s="166"/>
      <c r="F42" s="166"/>
      <c r="G42" s="166"/>
      <c r="H42" s="155"/>
      <c r="I42" s="155"/>
      <c r="J42" s="161">
        <v>17345.5</v>
      </c>
      <c r="K42" s="147"/>
      <c r="L42" s="151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1:26" ht="15.75" customHeight="1">
      <c r="A43" s="106"/>
      <c r="B43" s="136" t="s">
        <v>22</v>
      </c>
      <c r="C43" s="166"/>
      <c r="D43" s="166"/>
      <c r="E43" s="166"/>
      <c r="F43" s="166"/>
      <c r="G43" s="166"/>
      <c r="H43" s="155"/>
      <c r="I43" s="155"/>
      <c r="J43" s="161">
        <v>294.32</v>
      </c>
      <c r="K43" s="147"/>
      <c r="L43" s="151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6" ht="15.75" customHeight="1">
      <c r="A44" s="106"/>
      <c r="B44" s="153" t="s">
        <v>23</v>
      </c>
      <c r="C44" s="165"/>
      <c r="D44" s="165"/>
      <c r="E44" s="165"/>
      <c r="F44" s="165"/>
      <c r="G44" s="165"/>
      <c r="H44" s="154"/>
      <c r="I44" s="154"/>
      <c r="J44" s="160">
        <f>SUM(J38:J43)</f>
        <v>288531.12</v>
      </c>
      <c r="K44" s="147"/>
      <c r="L44" s="151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1:26" ht="15.75" customHeight="1">
      <c r="A45" s="106"/>
      <c r="B45" s="157"/>
      <c r="C45" s="106"/>
      <c r="D45" s="106"/>
      <c r="E45" s="106"/>
      <c r="F45" s="106"/>
      <c r="G45" s="106"/>
      <c r="H45" s="150"/>
      <c r="I45" s="150"/>
      <c r="J45" s="150"/>
      <c r="K45" s="147"/>
      <c r="L45" s="151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6" ht="15.75" customHeight="1">
      <c r="A46" s="106"/>
      <c r="B46" s="153" t="s">
        <v>24</v>
      </c>
      <c r="C46" s="165"/>
      <c r="D46" s="165"/>
      <c r="E46" s="165"/>
      <c r="F46" s="165"/>
      <c r="G46" s="165"/>
      <c r="H46" s="154"/>
      <c r="I46" s="154"/>
      <c r="J46" s="130" t="s">
        <v>2</v>
      </c>
      <c r="K46" s="147"/>
      <c r="L46" s="151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1:26" ht="15.75" customHeight="1">
      <c r="A47" s="106"/>
      <c r="B47" s="136" t="s">
        <v>25</v>
      </c>
      <c r="C47" s="166"/>
      <c r="D47" s="166"/>
      <c r="E47" s="166"/>
      <c r="F47" s="166"/>
      <c r="G47" s="166"/>
      <c r="H47" s="155"/>
      <c r="I47" s="155"/>
      <c r="J47" s="161">
        <v>39296791.950000003</v>
      </c>
      <c r="K47" s="148"/>
      <c r="L47" s="151"/>
      <c r="N47" s="108"/>
    </row>
    <row r="48" spans="1:26" ht="15.75" customHeight="1">
      <c r="B48" s="136" t="s">
        <v>26</v>
      </c>
      <c r="C48" s="166"/>
      <c r="D48" s="166"/>
      <c r="E48" s="166"/>
      <c r="F48" s="166"/>
      <c r="G48" s="166"/>
      <c r="H48" s="155"/>
      <c r="I48" s="155"/>
      <c r="J48" s="161">
        <v>13422222.43</v>
      </c>
      <c r="K48" s="148"/>
      <c r="L48" s="151"/>
      <c r="N48" s="108"/>
    </row>
    <row r="49" spans="2:14" ht="15.75" customHeight="1">
      <c r="B49" s="136" t="s">
        <v>27</v>
      </c>
      <c r="C49" s="166"/>
      <c r="D49" s="166"/>
      <c r="E49" s="166"/>
      <c r="F49" s="166"/>
      <c r="G49" s="166"/>
      <c r="H49" s="155"/>
      <c r="I49" s="155"/>
      <c r="J49" s="161">
        <v>0</v>
      </c>
      <c r="K49" s="148"/>
      <c r="L49" s="151"/>
      <c r="N49" s="108"/>
    </row>
    <row r="50" spans="2:14" ht="15.75" customHeight="1">
      <c r="B50" s="136" t="s">
        <v>131</v>
      </c>
      <c r="C50" s="166"/>
      <c r="D50" s="166"/>
      <c r="E50" s="166"/>
      <c r="F50" s="166"/>
      <c r="G50" s="166"/>
      <c r="H50" s="155"/>
      <c r="I50" s="155"/>
      <c r="J50" s="161">
        <v>255231.87</v>
      </c>
      <c r="K50" s="148"/>
      <c r="L50" s="151"/>
      <c r="N50" s="108"/>
    </row>
    <row r="51" spans="2:14" ht="15.75" customHeight="1">
      <c r="B51" s="153" t="s">
        <v>28</v>
      </c>
      <c r="C51" s="165"/>
      <c r="D51" s="165"/>
      <c r="E51" s="165"/>
      <c r="F51" s="165"/>
      <c r="G51" s="165"/>
      <c r="H51" s="154"/>
      <c r="I51" s="154"/>
      <c r="J51" s="160">
        <f>SUM(J47:J50)-J44</f>
        <v>52685715.130000003</v>
      </c>
      <c r="K51" s="148"/>
      <c r="L51" s="151"/>
      <c r="N51" s="108"/>
    </row>
    <row r="52" spans="2:14" ht="15.75" customHeight="1">
      <c r="B52" s="158"/>
      <c r="C52" s="131"/>
      <c r="D52" s="131"/>
      <c r="E52" s="131"/>
      <c r="F52" s="131"/>
      <c r="G52" s="131"/>
      <c r="H52" s="132"/>
      <c r="I52" s="132"/>
      <c r="J52" s="155"/>
      <c r="K52" s="148"/>
      <c r="L52" s="151"/>
      <c r="N52" s="108"/>
    </row>
    <row r="53" spans="2:14" ht="15.75" customHeight="1">
      <c r="B53" s="133" t="s">
        <v>29</v>
      </c>
      <c r="C53" s="167"/>
      <c r="D53" s="167"/>
      <c r="E53" s="167"/>
      <c r="F53" s="167"/>
      <c r="G53" s="167"/>
      <c r="H53" s="156"/>
      <c r="I53" s="156"/>
      <c r="J53" s="162">
        <f>J51+J44</f>
        <v>52974246.25</v>
      </c>
      <c r="K53" s="148"/>
      <c r="L53" s="151"/>
      <c r="N53" s="108"/>
    </row>
    <row r="54" spans="2:14" ht="15.75" customHeight="1">
      <c r="B54" s="106"/>
      <c r="C54" s="106"/>
      <c r="D54" s="106"/>
      <c r="E54" s="106"/>
      <c r="F54" s="106"/>
      <c r="G54" s="106"/>
      <c r="H54" s="109"/>
      <c r="I54" s="109"/>
      <c r="J54" s="109"/>
    </row>
    <row r="55" spans="2:14" ht="15.75" customHeight="1">
      <c r="B55" s="106"/>
      <c r="C55" s="106"/>
      <c r="D55" s="106"/>
      <c r="E55" s="106"/>
      <c r="F55" s="106"/>
      <c r="G55" s="106"/>
      <c r="H55" s="109"/>
      <c r="I55" s="109"/>
      <c r="J55" s="109"/>
    </row>
    <row r="56" spans="2:14" ht="15.75" customHeight="1">
      <c r="B56" s="106"/>
      <c r="C56" s="106"/>
      <c r="D56" s="106"/>
      <c r="E56" s="106"/>
      <c r="F56" s="106"/>
      <c r="G56" s="106"/>
      <c r="H56" s="109"/>
      <c r="I56" s="109"/>
      <c r="J56" s="109"/>
    </row>
    <row r="57" spans="2:14" ht="15.75" customHeight="1">
      <c r="B57" s="106"/>
      <c r="C57" s="106"/>
      <c r="D57" s="106"/>
      <c r="E57" s="106"/>
      <c r="F57" s="106"/>
      <c r="G57" s="106"/>
      <c r="H57" s="109"/>
      <c r="I57" s="109"/>
      <c r="J57" s="109"/>
    </row>
    <row r="58" spans="2:14" ht="15.75" customHeight="1">
      <c r="B58" s="106"/>
      <c r="C58" s="106"/>
      <c r="D58" s="106"/>
      <c r="E58" s="106"/>
      <c r="F58" s="106"/>
      <c r="G58" s="106"/>
      <c r="H58" s="109"/>
      <c r="I58" s="109"/>
      <c r="J58" s="109"/>
    </row>
    <row r="59" spans="2:14" ht="15.75" customHeight="1">
      <c r="B59" s="106"/>
      <c r="C59" s="106"/>
      <c r="D59" s="106"/>
      <c r="E59" s="106"/>
      <c r="F59" s="106"/>
      <c r="G59" s="106"/>
      <c r="H59" s="106"/>
      <c r="I59" s="106"/>
    </row>
    <row r="60" spans="2:14" ht="15.75" customHeight="1">
      <c r="B60" s="106"/>
      <c r="C60" s="106"/>
      <c r="D60" s="106"/>
      <c r="E60" s="106"/>
      <c r="F60" s="106"/>
      <c r="G60" s="106"/>
      <c r="H60" s="106"/>
      <c r="I60" s="106"/>
    </row>
    <row r="61" spans="2:14" ht="15.75" customHeight="1">
      <c r="B61" s="106"/>
      <c r="C61" s="106"/>
      <c r="D61" s="106"/>
      <c r="E61" s="106"/>
      <c r="F61" s="106"/>
      <c r="G61" s="106"/>
      <c r="H61" s="106"/>
      <c r="I61" s="106"/>
    </row>
  </sheetData>
  <mergeCells count="5">
    <mergeCell ref="B3:J3"/>
    <mergeCell ref="B7:J8"/>
    <mergeCell ref="B23:J24"/>
    <mergeCell ref="B34:J34"/>
    <mergeCell ref="B35:J36"/>
  </mergeCells>
  <pageMargins left="0.23622047244094488" right="0.23622047244094488" top="0.19685039370078741" bottom="0.19685039370078741" header="0.31496062992125984" footer="0.3149606299212598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A61"/>
  <sheetViews>
    <sheetView showGridLines="0" topLeftCell="B4" workbookViewId="0">
      <selection activeCell="C26" sqref="C26:J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48" customWidth="1"/>
    <col min="4" max="4" width="20.7109375" style="108" customWidth="1"/>
    <col min="5" max="5" width="19.5703125" style="108" bestFit="1" customWidth="1"/>
    <col min="6" max="7" width="18.7109375" style="108" bestFit="1" customWidth="1"/>
    <col min="8" max="8" width="21.42578125" style="108" customWidth="1"/>
    <col min="9" max="11" width="20" style="108" bestFit="1" customWidth="1"/>
    <col min="12" max="12" width="6.85546875" style="108" customWidth="1"/>
    <col min="13" max="13" width="18.42578125" style="148" bestFit="1" customWidth="1"/>
    <col min="14" max="14" width="14.7109375" style="151" bestFit="1" customWidth="1"/>
    <col min="15" max="15" width="13.5703125" style="151" bestFit="1" customWidth="1"/>
    <col min="16" max="27" width="9.5703125" style="108" customWidth="1"/>
    <col min="28" max="1031" width="9.42578125" style="108" customWidth="1"/>
    <col min="1032" max="16384" width="9.140625" style="108"/>
  </cols>
  <sheetData>
    <row r="1" spans="1:27" ht="15.75" customHeight="1">
      <c r="A1" s="106" t="s">
        <v>118</v>
      </c>
      <c r="B1" s="106"/>
      <c r="C1" s="144"/>
      <c r="D1" s="106"/>
      <c r="E1" s="106"/>
      <c r="F1" s="106"/>
      <c r="G1" s="106"/>
      <c r="H1" s="106"/>
      <c r="I1" s="109"/>
      <c r="J1" s="109"/>
      <c r="K1" s="109"/>
      <c r="L1" s="106"/>
      <c r="M1" s="144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15.75" customHeight="1">
      <c r="A2" s="106"/>
      <c r="B2" s="106"/>
      <c r="C2" s="144"/>
      <c r="D2" s="106"/>
      <c r="E2" s="106"/>
      <c r="F2" s="106"/>
      <c r="G2" s="106"/>
      <c r="H2" s="106"/>
      <c r="I2" s="109"/>
      <c r="J2" s="109"/>
      <c r="K2" s="109"/>
      <c r="L2" s="106"/>
      <c r="M2" s="144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</row>
    <row r="3" spans="1:27" ht="15.75" customHeight="1">
      <c r="A3" s="106"/>
      <c r="B3" s="367" t="s">
        <v>173</v>
      </c>
      <c r="C3" s="367"/>
      <c r="D3" s="367"/>
      <c r="E3" s="367"/>
      <c r="F3" s="367"/>
      <c r="G3" s="367"/>
      <c r="H3" s="367"/>
      <c r="I3" s="367"/>
      <c r="J3" s="367"/>
      <c r="K3" s="367"/>
      <c r="L3" s="106"/>
      <c r="M3" s="144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7" ht="15.75" customHeight="1">
      <c r="A4" s="106"/>
      <c r="B4" s="106"/>
      <c r="C4" s="144"/>
      <c r="D4" s="106"/>
      <c r="E4" s="106"/>
      <c r="F4" s="106"/>
      <c r="G4" s="106"/>
      <c r="H4" s="106"/>
      <c r="I4" s="109"/>
      <c r="J4" s="109"/>
      <c r="K4" s="109"/>
      <c r="L4" s="106"/>
      <c r="M4" s="144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1:27" ht="15.75" customHeight="1">
      <c r="A5" s="106"/>
      <c r="B5" s="106"/>
      <c r="C5" s="144"/>
      <c r="D5" s="106"/>
      <c r="E5" s="106"/>
      <c r="F5" s="106"/>
      <c r="G5" s="106"/>
      <c r="H5" s="106"/>
      <c r="I5" s="109"/>
      <c r="J5" s="109"/>
      <c r="K5" s="109"/>
      <c r="L5" s="106"/>
      <c r="M5" s="144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27" s="141" customFormat="1" ht="24.95" customHeight="1">
      <c r="A6" s="140"/>
      <c r="B6" s="139" t="s">
        <v>0</v>
      </c>
      <c r="C6" s="173" t="s">
        <v>85</v>
      </c>
      <c r="D6" s="139" t="s">
        <v>77</v>
      </c>
      <c r="E6" s="139" t="s">
        <v>69</v>
      </c>
      <c r="F6" s="139" t="s">
        <v>61</v>
      </c>
      <c r="G6" s="139" t="s">
        <v>53</v>
      </c>
      <c r="H6" s="139" t="s">
        <v>44</v>
      </c>
      <c r="I6" s="139" t="s">
        <v>151</v>
      </c>
      <c r="J6" s="139" t="s">
        <v>31</v>
      </c>
      <c r="K6" s="139">
        <v>2022</v>
      </c>
      <c r="L6" s="140"/>
      <c r="M6" s="145"/>
      <c r="N6" s="151"/>
      <c r="O6" s="151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</row>
    <row r="7" spans="1:27" s="112" customFormat="1" ht="15.75" customHeight="1">
      <c r="A7" s="111"/>
      <c r="B7" s="350" t="s">
        <v>127</v>
      </c>
      <c r="C7" s="351"/>
      <c r="D7" s="351"/>
      <c r="E7" s="351"/>
      <c r="F7" s="351"/>
      <c r="G7" s="351"/>
      <c r="H7" s="351"/>
      <c r="I7" s="351"/>
      <c r="J7" s="351"/>
      <c r="K7" s="351"/>
      <c r="L7" s="111"/>
      <c r="M7" s="146"/>
      <c r="N7" s="151"/>
      <c r="O7" s="15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</row>
    <row r="8" spans="1:27" s="142" customFormat="1" ht="15.75" customHeight="1">
      <c r="A8" s="111"/>
      <c r="B8" s="352"/>
      <c r="C8" s="353"/>
      <c r="D8" s="353"/>
      <c r="E8" s="353"/>
      <c r="F8" s="353"/>
      <c r="G8" s="353"/>
      <c r="H8" s="353"/>
      <c r="I8" s="353"/>
      <c r="J8" s="353"/>
      <c r="K8" s="353"/>
      <c r="L8" s="111"/>
      <c r="M8" s="146"/>
      <c r="N8" s="151"/>
      <c r="O8" s="15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1:27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1"/>
      <c r="M9" s="146"/>
      <c r="N9" s="151"/>
      <c r="O9" s="15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27" ht="17.100000000000001" customHeight="1">
      <c r="A10" s="106"/>
      <c r="B10" s="136" t="s">
        <v>3</v>
      </c>
      <c r="C10" s="168">
        <v>597854.14</v>
      </c>
      <c r="D10" s="168">
        <v>595267.09</v>
      </c>
      <c r="E10" s="168">
        <v>727581.54</v>
      </c>
      <c r="F10" s="168">
        <v>524966.87</v>
      </c>
      <c r="G10" s="168">
        <v>535990.88</v>
      </c>
      <c r="H10" s="168">
        <v>636880.65</v>
      </c>
      <c r="I10" s="138">
        <v>358179.72</v>
      </c>
      <c r="J10" s="138">
        <f>467985.07+2546.27</f>
        <v>470531.34</v>
      </c>
      <c r="K10" s="138">
        <f t="shared" ref="K10:K20" si="0">SUM(C10:J10)</f>
        <v>4447252.2299999995</v>
      </c>
      <c r="L10" s="106"/>
      <c r="M10" s="147"/>
      <c r="N10" s="152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7" ht="17.100000000000001" customHeight="1">
      <c r="A11" s="106"/>
      <c r="B11" s="114" t="s">
        <v>4</v>
      </c>
      <c r="C11" s="169">
        <v>380502.6</v>
      </c>
      <c r="D11" s="169">
        <v>378856.21</v>
      </c>
      <c r="E11" s="169">
        <v>463056.11</v>
      </c>
      <c r="F11" s="169">
        <v>487801.26</v>
      </c>
      <c r="G11" s="169">
        <v>189358.6</v>
      </c>
      <c r="H11" s="169">
        <v>405387.8</v>
      </c>
      <c r="I11" s="135">
        <v>227932.55</v>
      </c>
      <c r="J11" s="135">
        <v>452327.34</v>
      </c>
      <c r="K11" s="138">
        <f t="shared" si="0"/>
        <v>2985222.4699999997</v>
      </c>
      <c r="L11" s="106"/>
      <c r="M11" s="147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</row>
    <row r="12" spans="1:27" ht="17.100000000000001" customHeight="1">
      <c r="A12" s="106"/>
      <c r="B12" s="114" t="s">
        <v>194</v>
      </c>
      <c r="C12" s="171">
        <v>263303.75</v>
      </c>
      <c r="D12" s="171">
        <v>263303.75</v>
      </c>
      <c r="E12" s="171">
        <v>263303.75</v>
      </c>
      <c r="F12" s="171">
        <v>126693.92</v>
      </c>
      <c r="G12" s="171">
        <v>126693.92</v>
      </c>
      <c r="H12" s="170">
        <v>126693.92</v>
      </c>
      <c r="I12" s="115">
        <v>126693.92</v>
      </c>
      <c r="J12" s="115">
        <v>126693.92</v>
      </c>
      <c r="K12" s="138">
        <f t="shared" si="0"/>
        <v>1423380.8499999999</v>
      </c>
      <c r="L12" s="106"/>
      <c r="M12" s="147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</row>
    <row r="13" spans="1:27" ht="17.100000000000001" customHeight="1">
      <c r="A13" s="106"/>
      <c r="B13" s="114" t="s">
        <v>6</v>
      </c>
      <c r="C13" s="171">
        <v>676344.82</v>
      </c>
      <c r="D13" s="171">
        <v>421416.32</v>
      </c>
      <c r="E13" s="171">
        <v>-84090.74</v>
      </c>
      <c r="F13" s="171">
        <v>505838.52</v>
      </c>
      <c r="G13" s="171">
        <v>16001.38</v>
      </c>
      <c r="H13" s="171">
        <v>809918.94</v>
      </c>
      <c r="I13" s="115">
        <v>98226.79</v>
      </c>
      <c r="J13" s="115">
        <v>38967.99</v>
      </c>
      <c r="K13" s="138">
        <f t="shared" si="0"/>
        <v>2482624.02</v>
      </c>
      <c r="M13" s="147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</row>
    <row r="14" spans="1:27" ht="17.100000000000001" customHeight="1">
      <c r="A14" s="106"/>
      <c r="B14" s="114" t="s">
        <v>195</v>
      </c>
      <c r="C14" s="171">
        <v>0</v>
      </c>
      <c r="D14" s="171">
        <v>57607.77</v>
      </c>
      <c r="E14" s="171">
        <v>57349.7</v>
      </c>
      <c r="F14" s="171">
        <v>56759.4</v>
      </c>
      <c r="G14" s="171">
        <v>55805.13</v>
      </c>
      <c r="H14" s="171">
        <v>55252.6</v>
      </c>
      <c r="I14" s="115">
        <v>54884.88</v>
      </c>
      <c r="J14" s="115">
        <v>54487.12</v>
      </c>
      <c r="K14" s="138">
        <f t="shared" si="0"/>
        <v>392146.6</v>
      </c>
      <c r="L14" s="106"/>
      <c r="M14" s="147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</row>
    <row r="15" spans="1:27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15">
        <v>23811.51</v>
      </c>
      <c r="K15" s="138">
        <f t="shared" si="0"/>
        <v>23811.51</v>
      </c>
      <c r="L15" s="106"/>
      <c r="M15" s="147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</row>
    <row r="16" spans="1:27" ht="17.100000000000001" customHeight="1">
      <c r="A16" s="106"/>
      <c r="B16" s="114" t="s">
        <v>196</v>
      </c>
      <c r="C16" s="171">
        <v>12949.78</v>
      </c>
      <c r="D16" s="171">
        <v>12742.8</v>
      </c>
      <c r="E16" s="171">
        <v>12621.89</v>
      </c>
      <c r="F16" s="171">
        <v>12430.62</v>
      </c>
      <c r="G16" s="171">
        <v>12368.92</v>
      </c>
      <c r="H16" s="171">
        <v>11980.7</v>
      </c>
      <c r="I16" s="115">
        <v>11840.9</v>
      </c>
      <c r="J16" s="115">
        <v>11697.01</v>
      </c>
      <c r="K16" s="138">
        <f t="shared" si="0"/>
        <v>98632.62</v>
      </c>
      <c r="L16" s="106"/>
      <c r="M16" s="147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</row>
    <row r="17" spans="1:27" ht="17.100000000000001" customHeight="1">
      <c r="A17" s="106"/>
      <c r="B17" s="114" t="s">
        <v>197</v>
      </c>
      <c r="C17" s="171">
        <v>5398.8</v>
      </c>
      <c r="D17" s="171">
        <v>5312.52</v>
      </c>
      <c r="E17" s="171">
        <v>5262.12</v>
      </c>
      <c r="F17" s="171">
        <v>5182.37</v>
      </c>
      <c r="G17" s="171">
        <v>5156.6499999999996</v>
      </c>
      <c r="H17" s="171">
        <v>4994.8</v>
      </c>
      <c r="I17" s="115">
        <v>4936.5200000000004</v>
      </c>
      <c r="J17" s="115">
        <v>4876.53</v>
      </c>
      <c r="K17" s="138">
        <f t="shared" si="0"/>
        <v>41120.31</v>
      </c>
      <c r="L17" s="106"/>
      <c r="M17" s="147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 ht="17.100000000000001" customHeight="1">
      <c r="A18" s="106"/>
      <c r="B18" s="114" t="s">
        <v>198</v>
      </c>
      <c r="C18" s="171">
        <v>18497.71</v>
      </c>
      <c r="D18" s="171">
        <v>18201.28</v>
      </c>
      <c r="E18" s="171">
        <v>18028.2</v>
      </c>
      <c r="F18" s="171">
        <v>17753.55</v>
      </c>
      <c r="G18" s="171">
        <v>17665.8</v>
      </c>
      <c r="H18" s="171">
        <v>17111.64</v>
      </c>
      <c r="I18" s="115">
        <v>17026.22</v>
      </c>
      <c r="J18" s="115">
        <v>16706.07</v>
      </c>
      <c r="K18" s="138">
        <f t="shared" si="0"/>
        <v>140990.47</v>
      </c>
      <c r="L18" s="106"/>
      <c r="M18" s="147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</row>
    <row r="19" spans="1:27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82684.009999999995</v>
      </c>
      <c r="H19" s="171">
        <v>11242.71</v>
      </c>
      <c r="I19" s="115">
        <v>0</v>
      </c>
      <c r="J19" s="115">
        <v>0</v>
      </c>
      <c r="K19" s="138">
        <f t="shared" si="0"/>
        <v>138897.56</v>
      </c>
      <c r="L19" s="106"/>
      <c r="M19" s="147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1:27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(1168.12*2)+(1943.36*2)</f>
        <v>6222.9599999999991</v>
      </c>
      <c r="G20" s="171">
        <v>0</v>
      </c>
      <c r="H20" s="171">
        <v>15557.47</v>
      </c>
      <c r="I20" s="115">
        <v>1168.1199999999999</v>
      </c>
      <c r="J20" s="115">
        <v>3231.48</v>
      </c>
      <c r="K20" s="138">
        <f t="shared" si="0"/>
        <v>35514.469999999994</v>
      </c>
      <c r="L20" s="106"/>
      <c r="M20" s="147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</row>
    <row r="21" spans="1:27" s="112" customFormat="1" ht="15.75" customHeight="1">
      <c r="A21" s="111"/>
      <c r="B21" s="116" t="s">
        <v>9</v>
      </c>
      <c r="C21" s="117">
        <f t="shared" ref="C21:J21" si="1">SUM(C10:C20)</f>
        <v>1969205.79</v>
      </c>
      <c r="D21" s="117">
        <f t="shared" si="1"/>
        <v>1767061.9300000002</v>
      </c>
      <c r="E21" s="117">
        <f t="shared" si="1"/>
        <v>1477466.7599999998</v>
      </c>
      <c r="F21" s="117">
        <f t="shared" si="1"/>
        <v>1754892.1800000002</v>
      </c>
      <c r="G21" s="117">
        <f t="shared" si="1"/>
        <v>1041725.2900000002</v>
      </c>
      <c r="H21" s="117">
        <f t="shared" si="1"/>
        <v>2095021.2299999997</v>
      </c>
      <c r="I21" s="117">
        <f t="shared" si="1"/>
        <v>900889.62000000011</v>
      </c>
      <c r="J21" s="117">
        <f t="shared" si="1"/>
        <v>1203330.3100000003</v>
      </c>
      <c r="K21" s="117">
        <f>SUM(K10:K20)</f>
        <v>12209593.109999999</v>
      </c>
      <c r="L21" s="111"/>
      <c r="M21" s="146"/>
      <c r="N21" s="151"/>
      <c r="O21" s="15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1:27" ht="15.75" customHeight="1">
      <c r="A22" s="106"/>
      <c r="B22" s="106"/>
      <c r="C22" s="147"/>
      <c r="D22" s="106"/>
      <c r="E22" s="106"/>
      <c r="F22" s="106"/>
      <c r="G22" s="106"/>
      <c r="H22" s="106"/>
      <c r="I22" s="109"/>
      <c r="J22" s="109"/>
      <c r="K22" s="109"/>
      <c r="L22" s="106"/>
      <c r="M22" s="147" t="s">
        <v>118</v>
      </c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</row>
    <row r="23" spans="1:27" s="112" customFormat="1" ht="15.75" customHeight="1">
      <c r="A23" s="111"/>
      <c r="B23" s="350" t="s">
        <v>128</v>
      </c>
      <c r="C23" s="351"/>
      <c r="D23" s="351"/>
      <c r="E23" s="351"/>
      <c r="F23" s="351"/>
      <c r="G23" s="351"/>
      <c r="H23" s="351"/>
      <c r="I23" s="351"/>
      <c r="J23" s="351"/>
      <c r="K23" s="351"/>
      <c r="L23" s="111"/>
      <c r="M23" s="146"/>
      <c r="N23" s="151"/>
      <c r="O23" s="15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1:27" ht="15.75" customHeight="1">
      <c r="A24" s="106"/>
      <c r="B24" s="352"/>
      <c r="C24" s="353"/>
      <c r="D24" s="353"/>
      <c r="E24" s="353"/>
      <c r="F24" s="353"/>
      <c r="G24" s="353"/>
      <c r="H24" s="353"/>
      <c r="I24" s="353"/>
      <c r="J24" s="353"/>
      <c r="K24" s="353"/>
      <c r="L24" s="106"/>
      <c r="M24" s="147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</row>
    <row r="25" spans="1:27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06"/>
      <c r="M25" s="147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1:27" ht="17.100000000000001" customHeight="1">
      <c r="A26" s="106"/>
      <c r="B26" s="114" t="s">
        <v>172</v>
      </c>
      <c r="C26" s="179">
        <v>615746.06999999995</v>
      </c>
      <c r="D26" s="171">
        <v>617621.43000000005</v>
      </c>
      <c r="E26" s="179">
        <v>925293.45</v>
      </c>
      <c r="F26" s="179">
        <v>755023.19</v>
      </c>
      <c r="G26" s="179">
        <v>548127.35</v>
      </c>
      <c r="H26" s="179">
        <v>542075.24</v>
      </c>
      <c r="I26" s="189">
        <v>495470.49</v>
      </c>
      <c r="J26" s="115">
        <v>487626.13</v>
      </c>
      <c r="K26" s="115">
        <f>SUM(C26:J26)</f>
        <v>4986983.3500000006</v>
      </c>
      <c r="L26" s="106"/>
      <c r="M26" s="147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</row>
    <row r="27" spans="1:27" ht="17.100000000000001" customHeight="1">
      <c r="A27" s="106"/>
      <c r="B27" s="114" t="s">
        <v>150</v>
      </c>
      <c r="C27" s="179">
        <v>69264.009999999995</v>
      </c>
      <c r="D27" s="171">
        <v>64433.17</v>
      </c>
      <c r="E27" s="179">
        <v>97154.79</v>
      </c>
      <c r="F27" s="179">
        <v>67044.08</v>
      </c>
      <c r="G27" s="179">
        <v>64945.72</v>
      </c>
      <c r="H27" s="179">
        <v>64945.72</v>
      </c>
      <c r="I27" s="189">
        <v>63584.02</v>
      </c>
      <c r="J27" s="115">
        <v>65481.06</v>
      </c>
      <c r="K27" s="115">
        <f>SUM(C27:J27)</f>
        <v>556852.57000000007</v>
      </c>
      <c r="L27" s="106"/>
      <c r="M27" s="147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</row>
    <row r="28" spans="1:27" ht="17.100000000000001" customHeight="1">
      <c r="A28" s="106"/>
      <c r="B28" s="114" t="s">
        <v>171</v>
      </c>
      <c r="C28" s="191">
        <v>36658.53</v>
      </c>
      <c r="D28" s="191">
        <v>38537.58</v>
      </c>
      <c r="E28" s="191">
        <v>46269.5</v>
      </c>
      <c r="F28" s="191">
        <v>40256.519999999997</v>
      </c>
      <c r="G28" s="191">
        <v>27034.39</v>
      </c>
      <c r="H28" s="191">
        <v>24052.01</v>
      </c>
      <c r="I28" s="190">
        <v>21886.080000000002</v>
      </c>
      <c r="J28" s="119">
        <v>17676.18</v>
      </c>
      <c r="K28" s="115">
        <f>SUM(C28:J28)</f>
        <v>252370.79000000004</v>
      </c>
      <c r="L28" s="106"/>
      <c r="M28" s="147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</row>
    <row r="29" spans="1:27" ht="17.100000000000001" customHeight="1">
      <c r="A29" s="106"/>
      <c r="B29" s="114" t="s">
        <v>193</v>
      </c>
      <c r="C29" s="179">
        <f>1531.08</f>
        <v>1531.08</v>
      </c>
      <c r="D29" s="179">
        <v>1277.42</v>
      </c>
      <c r="E29" s="179">
        <f>1531.08</f>
        <v>1531.08</v>
      </c>
      <c r="F29" s="179">
        <v>16262.03</v>
      </c>
      <c r="G29" s="179">
        <v>0</v>
      </c>
      <c r="H29" s="179">
        <v>0</v>
      </c>
      <c r="I29" s="189">
        <v>0</v>
      </c>
      <c r="J29" s="115">
        <v>0</v>
      </c>
      <c r="K29" s="115">
        <f>SUM(C29:J29)</f>
        <v>20601.61</v>
      </c>
      <c r="L29" s="106"/>
      <c r="M29" s="147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</row>
    <row r="30" spans="1:27" ht="17.100000000000001" customHeight="1">
      <c r="A30" s="106"/>
      <c r="B30" s="114" t="s">
        <v>130</v>
      </c>
      <c r="C30" s="191">
        <v>76149.100000000006</v>
      </c>
      <c r="D30" s="172">
        <v>46552.78</v>
      </c>
      <c r="E30" s="191">
        <v>89171.65</v>
      </c>
      <c r="F30" s="191">
        <v>37362.04</v>
      </c>
      <c r="G30" s="191">
        <v>55560.09</v>
      </c>
      <c r="H30" s="191">
        <v>22252.83</v>
      </c>
      <c r="I30" s="190">
        <v>14595.13</v>
      </c>
      <c r="J30" s="119">
        <v>7086.12</v>
      </c>
      <c r="K30" s="115">
        <f>SUM(C30:J30)</f>
        <v>348729.74000000005</v>
      </c>
      <c r="L30" s="106"/>
      <c r="M30" s="147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</row>
    <row r="31" spans="1:27" s="112" customFormat="1" ht="17.100000000000001" customHeight="1">
      <c r="A31" s="111"/>
      <c r="B31" s="120" t="s">
        <v>84</v>
      </c>
      <c r="C31" s="121">
        <f t="shared" ref="C31:J31" si="2">SUM(C26:C30)</f>
        <v>799348.78999999992</v>
      </c>
      <c r="D31" s="121">
        <f t="shared" si="2"/>
        <v>768422.38000000012</v>
      </c>
      <c r="E31" s="121">
        <f t="shared" si="2"/>
        <v>1159420.47</v>
      </c>
      <c r="F31" s="121">
        <f t="shared" si="2"/>
        <v>915947.86</v>
      </c>
      <c r="G31" s="121">
        <f t="shared" si="2"/>
        <v>695667.54999999993</v>
      </c>
      <c r="H31" s="121">
        <f t="shared" si="2"/>
        <v>653325.79999999993</v>
      </c>
      <c r="I31" s="121">
        <f t="shared" si="2"/>
        <v>595535.72</v>
      </c>
      <c r="J31" s="121">
        <f t="shared" si="2"/>
        <v>577869.49</v>
      </c>
      <c r="K31" s="121">
        <f>SUM(K26:K30)</f>
        <v>6165538.0600000015</v>
      </c>
      <c r="L31" s="111"/>
      <c r="M31" s="146"/>
      <c r="N31" s="151"/>
      <c r="O31" s="15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</row>
    <row r="32" spans="1:27" s="112" customFormat="1" ht="17.100000000000001" customHeight="1">
      <c r="A32" s="111"/>
      <c r="B32" s="163" t="s">
        <v>14</v>
      </c>
      <c r="C32" s="164">
        <f>C21-C31</f>
        <v>1169857</v>
      </c>
      <c r="D32" s="164">
        <f>D21-D31</f>
        <v>998639.55</v>
      </c>
      <c r="E32" s="164">
        <f>E21-E31</f>
        <v>318046.2899999998</v>
      </c>
      <c r="F32" s="164">
        <f>F21-F31</f>
        <v>838944.32000000018</v>
      </c>
      <c r="G32" s="164">
        <f t="shared" ref="G32:J32" si="3">G21-G31</f>
        <v>346057.74000000022</v>
      </c>
      <c r="H32" s="164">
        <f t="shared" si="3"/>
        <v>1441695.4299999997</v>
      </c>
      <c r="I32" s="164">
        <f t="shared" si="3"/>
        <v>305353.90000000014</v>
      </c>
      <c r="J32" s="164">
        <f t="shared" si="3"/>
        <v>625460.8200000003</v>
      </c>
      <c r="K32" s="159">
        <f>K21-K31</f>
        <v>6044055.049999998</v>
      </c>
      <c r="L32" s="111"/>
      <c r="M32" s="146"/>
      <c r="N32" s="151"/>
      <c r="O32" s="15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</row>
    <row r="33" spans="1:27" ht="15.75" customHeight="1">
      <c r="A33" s="106"/>
      <c r="B33" s="106"/>
      <c r="C33" s="147"/>
      <c r="D33" s="106"/>
      <c r="E33" s="106"/>
      <c r="F33" s="106"/>
      <c r="G33" s="106"/>
      <c r="H33" s="106"/>
      <c r="I33" s="109"/>
      <c r="J33" s="109"/>
      <c r="K33" s="109"/>
      <c r="L33" s="106"/>
      <c r="M33" s="147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</row>
    <row r="34" spans="1:27" s="112" customFormat="1" ht="15.75" customHeight="1">
      <c r="A34" s="111"/>
      <c r="B34" s="362" t="s">
        <v>15</v>
      </c>
      <c r="C34" s="363"/>
      <c r="D34" s="363"/>
      <c r="E34" s="363"/>
      <c r="F34" s="363"/>
      <c r="G34" s="363"/>
      <c r="H34" s="363"/>
      <c r="I34" s="363"/>
      <c r="J34" s="363"/>
      <c r="K34" s="364"/>
      <c r="L34" s="111"/>
      <c r="M34" s="146"/>
      <c r="N34" s="151"/>
      <c r="O34" s="15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</row>
    <row r="35" spans="1:27" s="112" customFormat="1" ht="15.75" customHeight="1">
      <c r="A35" s="111"/>
      <c r="B35" s="350" t="s">
        <v>16</v>
      </c>
      <c r="C35" s="351"/>
      <c r="D35" s="351"/>
      <c r="E35" s="351"/>
      <c r="F35" s="351"/>
      <c r="G35" s="351"/>
      <c r="H35" s="351"/>
      <c r="I35" s="351"/>
      <c r="J35" s="351"/>
      <c r="K35" s="365"/>
      <c r="L35" s="111"/>
      <c r="M35" s="146"/>
      <c r="N35" s="151"/>
      <c r="O35" s="15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</row>
    <row r="36" spans="1:27" ht="15.75" customHeight="1">
      <c r="A36" s="106"/>
      <c r="B36" s="352"/>
      <c r="C36" s="353"/>
      <c r="D36" s="353"/>
      <c r="E36" s="353"/>
      <c r="F36" s="353"/>
      <c r="G36" s="353"/>
      <c r="H36" s="353"/>
      <c r="I36" s="353"/>
      <c r="J36" s="353"/>
      <c r="K36" s="366"/>
      <c r="L36" s="106"/>
      <c r="M36" s="147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</row>
    <row r="37" spans="1:27" ht="15.75" customHeight="1">
      <c r="A37" s="106"/>
      <c r="B37" s="153" t="s">
        <v>17</v>
      </c>
      <c r="C37" s="174"/>
      <c r="D37" s="165"/>
      <c r="E37" s="165"/>
      <c r="F37" s="165"/>
      <c r="G37" s="165"/>
      <c r="H37" s="165"/>
      <c r="I37" s="154"/>
      <c r="J37" s="154"/>
      <c r="K37" s="130" t="s">
        <v>2</v>
      </c>
      <c r="L37" s="147"/>
      <c r="M37" s="151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7" ht="15.75" customHeight="1">
      <c r="A38" s="106"/>
      <c r="B38" s="136" t="s">
        <v>180</v>
      </c>
      <c r="C38" s="175"/>
      <c r="D38" s="166"/>
      <c r="E38" s="166"/>
      <c r="F38" s="166"/>
      <c r="G38" s="166"/>
      <c r="H38" s="166"/>
      <c r="I38" s="155"/>
      <c r="J38" s="155"/>
      <c r="K38" s="161">
        <v>0</v>
      </c>
      <c r="L38" s="147"/>
      <c r="M38" s="151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7" ht="15.75" customHeight="1">
      <c r="A39" s="106"/>
      <c r="B39" s="136" t="s">
        <v>181</v>
      </c>
      <c r="C39" s="175"/>
      <c r="D39" s="166"/>
      <c r="E39" s="166"/>
      <c r="F39" s="166"/>
      <c r="G39" s="166"/>
      <c r="H39" s="166"/>
      <c r="I39" s="155"/>
      <c r="J39" s="155"/>
      <c r="K39" s="161">
        <v>0</v>
      </c>
      <c r="L39" s="147"/>
      <c r="M39" s="151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7" ht="15.75" customHeight="1">
      <c r="A40" s="106"/>
      <c r="B40" s="136" t="s">
        <v>132</v>
      </c>
      <c r="C40" s="175"/>
      <c r="D40" s="166"/>
      <c r="E40" s="166"/>
      <c r="F40" s="166"/>
      <c r="G40" s="166"/>
      <c r="H40" s="166"/>
      <c r="I40" s="155"/>
      <c r="J40" s="155"/>
      <c r="K40" s="161">
        <v>0</v>
      </c>
      <c r="L40" s="147"/>
      <c r="M40" s="151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7" ht="15.75" customHeight="1">
      <c r="A41" s="106"/>
      <c r="B41" s="136" t="s">
        <v>20</v>
      </c>
      <c r="C41" s="175"/>
      <c r="D41" s="166"/>
      <c r="E41" s="166"/>
      <c r="F41" s="166"/>
      <c r="G41" s="166"/>
      <c r="H41" s="166"/>
      <c r="I41" s="155"/>
      <c r="J41" s="155"/>
      <c r="K41" s="161">
        <v>217814.17</v>
      </c>
      <c r="L41" s="147"/>
      <c r="M41" s="151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27" ht="15.75" customHeight="1">
      <c r="A42" s="106"/>
      <c r="B42" s="136" t="s">
        <v>21</v>
      </c>
      <c r="C42" s="175"/>
      <c r="D42" s="166"/>
      <c r="E42" s="166"/>
      <c r="F42" s="166"/>
      <c r="G42" s="166"/>
      <c r="H42" s="166"/>
      <c r="I42" s="155"/>
      <c r="J42" s="155"/>
      <c r="K42" s="161">
        <v>12374.7</v>
      </c>
      <c r="L42" s="147"/>
      <c r="M42" s="151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7" ht="15.75" customHeight="1">
      <c r="A43" s="106"/>
      <c r="B43" s="136" t="s">
        <v>22</v>
      </c>
      <c r="C43" s="175"/>
      <c r="D43" s="166"/>
      <c r="E43" s="166"/>
      <c r="F43" s="166"/>
      <c r="G43" s="166"/>
      <c r="H43" s="166"/>
      <c r="I43" s="155"/>
      <c r="J43" s="155"/>
      <c r="K43" s="161">
        <v>159.81</v>
      </c>
      <c r="L43" s="147"/>
      <c r="M43" s="151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7" ht="15.75" customHeight="1">
      <c r="A44" s="106"/>
      <c r="B44" s="153" t="s">
        <v>23</v>
      </c>
      <c r="C44" s="174"/>
      <c r="D44" s="165"/>
      <c r="E44" s="165"/>
      <c r="F44" s="165"/>
      <c r="G44" s="165"/>
      <c r="H44" s="165"/>
      <c r="I44" s="154"/>
      <c r="J44" s="154"/>
      <c r="K44" s="160">
        <f>SUM(K38:K43)</f>
        <v>230348.68000000002</v>
      </c>
      <c r="L44" s="147"/>
      <c r="M44" s="151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7" ht="15.75" customHeight="1">
      <c r="A45" s="106"/>
      <c r="B45" s="157"/>
      <c r="C45" s="144"/>
      <c r="D45" s="106"/>
      <c r="E45" s="106"/>
      <c r="F45" s="106"/>
      <c r="G45" s="106"/>
      <c r="H45" s="106"/>
      <c r="I45" s="150"/>
      <c r="J45" s="150"/>
      <c r="K45" s="150"/>
      <c r="L45" s="147"/>
      <c r="M45" s="151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7" ht="15.75" customHeight="1">
      <c r="A46" s="106"/>
      <c r="B46" s="153" t="s">
        <v>24</v>
      </c>
      <c r="C46" s="174"/>
      <c r="D46" s="165"/>
      <c r="E46" s="165"/>
      <c r="F46" s="165"/>
      <c r="G46" s="165"/>
      <c r="H46" s="165"/>
      <c r="I46" s="154"/>
      <c r="J46" s="154"/>
      <c r="K46" s="130" t="s">
        <v>2</v>
      </c>
      <c r="L46" s="147"/>
      <c r="M46" s="151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7" ht="15.75" customHeight="1">
      <c r="A47" s="106"/>
      <c r="B47" s="136" t="s">
        <v>200</v>
      </c>
      <c r="C47" s="175"/>
      <c r="D47" s="166"/>
      <c r="E47" s="166"/>
      <c r="F47" s="166"/>
      <c r="G47" s="166"/>
      <c r="H47" s="166"/>
      <c r="I47" s="155"/>
      <c r="J47" s="155"/>
      <c r="K47" s="161">
        <v>10006913.43</v>
      </c>
      <c r="L47" s="148"/>
      <c r="M47" s="151"/>
      <c r="O47" s="108"/>
    </row>
    <row r="48" spans="1:27" ht="15.75" customHeight="1">
      <c r="A48" s="106"/>
      <c r="B48" s="136" t="s">
        <v>25</v>
      </c>
      <c r="C48" s="175"/>
      <c r="D48" s="166"/>
      <c r="E48" s="166"/>
      <c r="F48" s="166"/>
      <c r="G48" s="166"/>
      <c r="H48" s="166"/>
      <c r="I48" s="155"/>
      <c r="J48" s="155"/>
      <c r="K48" s="161">
        <v>35278243.729999997</v>
      </c>
      <c r="L48" s="148"/>
      <c r="M48" s="151"/>
      <c r="O48" s="108"/>
    </row>
    <row r="49" spans="2:15" ht="15.75" customHeight="1">
      <c r="B49" s="136" t="s">
        <v>26</v>
      </c>
      <c r="C49" s="175"/>
      <c r="D49" s="166"/>
      <c r="E49" s="166"/>
      <c r="F49" s="166"/>
      <c r="G49" s="166"/>
      <c r="H49" s="166"/>
      <c r="I49" s="155"/>
      <c r="J49" s="155"/>
      <c r="K49" s="161">
        <v>9741612.9000000004</v>
      </c>
      <c r="L49" s="148"/>
      <c r="M49" s="151"/>
      <c r="O49" s="108"/>
    </row>
    <row r="50" spans="2:15" ht="15.75" customHeight="1">
      <c r="B50" s="136" t="s">
        <v>131</v>
      </c>
      <c r="C50" s="175"/>
      <c r="D50" s="166"/>
      <c r="E50" s="166"/>
      <c r="F50" s="166"/>
      <c r="G50" s="166"/>
      <c r="H50" s="166"/>
      <c r="I50" s="155"/>
      <c r="J50" s="155"/>
      <c r="K50" s="161">
        <v>231928.43</v>
      </c>
      <c r="L50" s="148"/>
      <c r="M50" s="151"/>
      <c r="O50" s="108"/>
    </row>
    <row r="51" spans="2:15" ht="15.75" customHeight="1">
      <c r="B51" s="153" t="s">
        <v>28</v>
      </c>
      <c r="C51" s="174"/>
      <c r="D51" s="165"/>
      <c r="E51" s="165"/>
      <c r="F51" s="165"/>
      <c r="G51" s="165"/>
      <c r="H51" s="165"/>
      <c r="I51" s="154"/>
      <c r="J51" s="154"/>
      <c r="K51" s="160">
        <f>SUM(K47:K50)-K44</f>
        <v>55028349.809999995</v>
      </c>
      <c r="L51" s="148"/>
      <c r="M51" s="151"/>
      <c r="O51" s="108"/>
    </row>
    <row r="52" spans="2:15" ht="15.75" customHeight="1">
      <c r="B52" s="158"/>
      <c r="C52" s="176"/>
      <c r="D52" s="131"/>
      <c r="E52" s="131"/>
      <c r="F52" s="131"/>
      <c r="G52" s="131"/>
      <c r="H52" s="131"/>
      <c r="I52" s="132"/>
      <c r="J52" s="132"/>
      <c r="K52" s="155"/>
      <c r="L52" s="148"/>
      <c r="M52" s="151"/>
      <c r="O52" s="108"/>
    </row>
    <row r="53" spans="2:15" ht="15.75" customHeight="1">
      <c r="B53" s="133" t="s">
        <v>29</v>
      </c>
      <c r="C53" s="177"/>
      <c r="D53" s="167"/>
      <c r="E53" s="167"/>
      <c r="F53" s="167"/>
      <c r="G53" s="167"/>
      <c r="H53" s="167"/>
      <c r="I53" s="156"/>
      <c r="J53" s="156"/>
      <c r="K53" s="162">
        <f>K51+K44</f>
        <v>55258698.489999995</v>
      </c>
      <c r="L53" s="148"/>
      <c r="M53" s="151"/>
      <c r="O53" s="108"/>
    </row>
    <row r="54" spans="2:15" ht="15.75" customHeight="1">
      <c r="B54" s="106"/>
      <c r="C54" s="147"/>
      <c r="D54" s="106"/>
      <c r="E54" s="106"/>
      <c r="F54" s="106"/>
      <c r="G54" s="106"/>
      <c r="H54" s="106"/>
      <c r="I54" s="109"/>
      <c r="J54" s="109"/>
      <c r="K54" s="109"/>
    </row>
    <row r="55" spans="2:15" ht="15.75" customHeight="1">
      <c r="B55" s="106"/>
      <c r="C55" s="147"/>
      <c r="D55" s="106"/>
      <c r="E55" s="106"/>
      <c r="F55" s="106"/>
      <c r="G55" s="106"/>
      <c r="H55" s="106"/>
      <c r="I55" s="109"/>
      <c r="J55" s="109"/>
      <c r="K55" s="109"/>
    </row>
    <row r="56" spans="2:15" ht="15.75" customHeight="1">
      <c r="B56" s="106"/>
      <c r="C56" s="147"/>
      <c r="D56" s="106"/>
      <c r="E56" s="106"/>
      <c r="F56" s="106"/>
      <c r="G56" s="106"/>
      <c r="H56" s="106"/>
      <c r="I56" s="109"/>
      <c r="J56" s="109"/>
      <c r="K56" s="109"/>
    </row>
    <row r="57" spans="2:15" ht="15.75" customHeight="1">
      <c r="B57" s="106"/>
      <c r="C57" s="147"/>
      <c r="D57" s="106"/>
      <c r="E57" s="106"/>
      <c r="F57" s="106"/>
      <c r="G57" s="106"/>
      <c r="H57" s="106"/>
      <c r="I57" s="109"/>
      <c r="J57" s="109"/>
      <c r="K57" s="109"/>
    </row>
    <row r="58" spans="2:15" ht="15.75" customHeight="1">
      <c r="B58" s="106"/>
      <c r="C58" s="147"/>
      <c r="D58" s="106"/>
      <c r="E58" s="106"/>
      <c r="F58" s="106"/>
      <c r="G58" s="106"/>
      <c r="H58" s="106"/>
      <c r="I58" s="109"/>
      <c r="J58" s="109"/>
      <c r="K58" s="109"/>
    </row>
    <row r="59" spans="2:15" ht="15.75" customHeight="1">
      <c r="B59" s="106"/>
      <c r="C59" s="144"/>
      <c r="D59" s="106"/>
      <c r="E59" s="106"/>
      <c r="F59" s="106"/>
      <c r="G59" s="106"/>
      <c r="H59" s="106"/>
      <c r="I59" s="106"/>
      <c r="J59" s="106"/>
    </row>
    <row r="60" spans="2:15" ht="15.75" customHeight="1">
      <c r="B60" s="106"/>
      <c r="C60" s="144"/>
      <c r="D60" s="106"/>
      <c r="E60" s="106"/>
      <c r="F60" s="106"/>
      <c r="G60" s="106"/>
      <c r="H60" s="106"/>
      <c r="I60" s="106"/>
      <c r="J60" s="106"/>
    </row>
    <row r="61" spans="2:15" ht="15.75" customHeight="1">
      <c r="B61" s="106"/>
      <c r="C61" s="144"/>
      <c r="D61" s="106"/>
      <c r="E61" s="106"/>
      <c r="F61" s="106"/>
      <c r="G61" s="106"/>
      <c r="H61" s="106"/>
      <c r="I61" s="106"/>
      <c r="J61" s="106"/>
    </row>
  </sheetData>
  <mergeCells count="5">
    <mergeCell ref="B3:K3"/>
    <mergeCell ref="B7:K8"/>
    <mergeCell ref="B23:K24"/>
    <mergeCell ref="B34:K34"/>
    <mergeCell ref="B35:K36"/>
  </mergeCells>
  <pageMargins left="0.25" right="0.25" top="0.75" bottom="0.75" header="0.3" footer="0.3"/>
  <pageSetup paperSize="9" scale="33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60"/>
  <sheetViews>
    <sheetView workbookViewId="0"/>
  </sheetViews>
  <sheetFormatPr defaultRowHeight="15.75" customHeight="1"/>
  <cols>
    <col min="1" max="1" width="1.42578125" customWidth="1"/>
    <col min="2" max="2" width="60.5703125" style="76" customWidth="1"/>
    <col min="3" max="3" width="15.140625" style="77" customWidth="1"/>
    <col min="4" max="4" width="13.42578125" style="77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43"/>
      <c r="C1" s="44"/>
      <c r="D1" s="45"/>
    </row>
    <row r="2" spans="1:20" ht="15.75" customHeight="1">
      <c r="A2" s="1"/>
      <c r="B2" s="46"/>
      <c r="C2" s="47"/>
      <c r="D2" s="48"/>
    </row>
    <row r="3" spans="1:20" ht="15.75" customHeight="1">
      <c r="A3" s="1"/>
      <c r="B3" s="46"/>
      <c r="C3" s="47"/>
      <c r="D3" s="48"/>
    </row>
    <row r="4" spans="1:20" ht="15.75" customHeight="1">
      <c r="A4" s="1"/>
      <c r="B4" s="46"/>
      <c r="C4" s="47"/>
      <c r="D4" s="48"/>
    </row>
    <row r="5" spans="1:20" ht="15.75" customHeight="1">
      <c r="A5" s="1"/>
      <c r="B5" s="49"/>
      <c r="C5" s="50"/>
      <c r="D5" s="51"/>
    </row>
    <row r="6" spans="1:20" s="20" customFormat="1" ht="24.95" customHeight="1">
      <c r="A6" s="19"/>
      <c r="B6" s="333" t="s">
        <v>0</v>
      </c>
      <c r="C6" s="333"/>
      <c r="D6" s="33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334" t="s">
        <v>1</v>
      </c>
      <c r="C7" s="52" t="s">
        <v>44</v>
      </c>
      <c r="D7" s="53" t="s">
        <v>45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334"/>
      <c r="C8" s="53" t="s">
        <v>2</v>
      </c>
      <c r="D8" s="53" t="s">
        <v>2</v>
      </c>
    </row>
    <row r="9" spans="1:20" s="6" customFormat="1" ht="17.100000000000001" customHeight="1">
      <c r="A9" s="5"/>
      <c r="B9" s="54" t="s">
        <v>3</v>
      </c>
      <c r="C9" s="24">
        <f>2865.55+13025.22+228922.64+2084.84+128300.06+84032.98+216603.29+230278.8+230454.26+5103.95</f>
        <v>1141671.5899999999</v>
      </c>
      <c r="D9" s="55">
        <f>3708.94+12807.11+229663.53+82460.16+126776.71+4258.15+2084.84+5994.43+5840.53+974.08+2299.66</f>
        <v>476868.14000000007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54" t="s">
        <v>4</v>
      </c>
      <c r="C10" s="55">
        <f>3150.25+8505.16+145678.01+81645.35+53475.53+3247.98</f>
        <v>295702.28000000003</v>
      </c>
      <c r="D10" s="55">
        <f>3686.95+8149.98+146149.45+80675.97+52474.67+2709.75+146652.65+27.48+2688.12+619.87+47767.29+80288.48</f>
        <v>571890.66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54" t="s">
        <v>5</v>
      </c>
      <c r="C11" s="55">
        <v>110551.48</v>
      </c>
      <c r="D11" s="55">
        <f>C11*3</f>
        <v>331654.44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54" t="s">
        <v>6</v>
      </c>
      <c r="C12" s="55">
        <f>-83109.26+9149.53+123935.1+13411.06</f>
        <v>63386.430000000008</v>
      </c>
      <c r="D12" s="55">
        <f>-229103.77-376056.58</f>
        <v>-605160.35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54" t="s">
        <v>46</v>
      </c>
      <c r="C13" s="55">
        <v>49959.32</v>
      </c>
      <c r="D13" s="55">
        <f>49824.79+49107.82</f>
        <v>98932.61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54" t="s">
        <v>47</v>
      </c>
      <c r="C14" s="55">
        <v>20938.599999999999</v>
      </c>
      <c r="D14" s="55">
        <f>20609.15+20213.01</f>
        <v>40822.160000000003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54" t="s">
        <v>48</v>
      </c>
      <c r="C15" s="55">
        <v>10286.799999999999</v>
      </c>
      <c r="D15" s="55">
        <f>10125.34+9929.92</f>
        <v>20055.260000000002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54" t="s">
        <v>49</v>
      </c>
      <c r="C16" s="55">
        <v>4288.6099999999997</v>
      </c>
      <c r="D16" s="55">
        <f>4221.3+4139.82</f>
        <v>8361.119999999999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54" t="s">
        <v>7</v>
      </c>
      <c r="C17" s="55">
        <v>11365.55</v>
      </c>
      <c r="D17" s="55">
        <f>9678.54+D27</f>
        <v>11997.84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54" t="s">
        <v>8</v>
      </c>
      <c r="C18" s="55">
        <v>0</v>
      </c>
      <c r="D18" s="55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56" t="s">
        <v>9</v>
      </c>
      <c r="C19" s="57">
        <f>SUM(C9:C18)</f>
        <v>1708150.6600000001</v>
      </c>
      <c r="D19" s="57">
        <f>SUM(D9:D18)</f>
        <v>955421.88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58"/>
      <c r="C20" s="47"/>
      <c r="D20" s="47"/>
    </row>
    <row r="21" spans="1:20" s="23" customFormat="1" ht="15.75" customHeight="1">
      <c r="A21" s="21"/>
      <c r="B21" s="334" t="s">
        <v>10</v>
      </c>
      <c r="C21" s="335" t="s">
        <v>44</v>
      </c>
      <c r="D21" s="336" t="str">
        <f>D7</f>
        <v>JAN E FEV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334"/>
      <c r="C22" s="335"/>
      <c r="D22" s="336"/>
    </row>
    <row r="23" spans="1:20" s="6" customFormat="1" ht="17.100000000000001" customHeight="1">
      <c r="A23" s="5"/>
      <c r="B23" s="61" t="s">
        <v>11</v>
      </c>
      <c r="C23" s="61" t="s">
        <v>2</v>
      </c>
      <c r="D23" s="61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54" t="s">
        <v>50</v>
      </c>
      <c r="C24" s="55">
        <v>422523.74</v>
      </c>
      <c r="D24" s="62">
        <f>1209252.91-C24</f>
        <v>786729.16999999993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54" t="s">
        <v>39</v>
      </c>
      <c r="C25" s="55">
        <v>55988.09</v>
      </c>
      <c r="D25" s="62">
        <f>167350.35-C25</f>
        <v>111362.26000000001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54" t="s">
        <v>40</v>
      </c>
      <c r="C26" s="63">
        <v>21959.439999999999</v>
      </c>
      <c r="D26" s="62">
        <f>82600.52-C26</f>
        <v>60641.08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5">
      <c r="A27" s="5"/>
      <c r="B27" s="54" t="s">
        <v>13</v>
      </c>
      <c r="C27" s="55">
        <v>1159.6500000000001</v>
      </c>
      <c r="D27" s="62">
        <f>1159.65*2</f>
        <v>2319.3000000000002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54" t="s">
        <v>41</v>
      </c>
      <c r="C28" s="63">
        <f>520002.48-C26-C25-C24</f>
        <v>19531.209999999963</v>
      </c>
      <c r="D28" s="62">
        <f>(1515449.58-520002.48)-D24-D25-D26</f>
        <v>36714.590000000157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64" t="s">
        <v>9</v>
      </c>
      <c r="C29" s="65">
        <f>SUM(C24:C28)</f>
        <v>521162.12999999995</v>
      </c>
      <c r="D29" s="65">
        <f>SUM(D24:D28)</f>
        <v>997766.40000000014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s="23" customFormat="1" ht="17.100000000000001" customHeight="1">
      <c r="A30" s="21"/>
      <c r="B30" s="66" t="s">
        <v>14</v>
      </c>
      <c r="C30" s="67">
        <f>C19-C29</f>
        <v>1186988.5300000003</v>
      </c>
      <c r="D30" s="68">
        <f>D19-D29</f>
        <v>-42344.520000000135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5.75" customHeight="1">
      <c r="A31" s="1"/>
      <c r="B31" s="58"/>
      <c r="C31" s="47"/>
      <c r="D31" s="47"/>
    </row>
    <row r="32" spans="1:20" s="23" customFormat="1" ht="15.75" customHeight="1">
      <c r="A32" s="21"/>
      <c r="B32" s="69" t="s">
        <v>15</v>
      </c>
      <c r="C32" s="70"/>
      <c r="D32" s="7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334" t="s">
        <v>16</v>
      </c>
      <c r="C33" s="336" t="s">
        <v>44</v>
      </c>
      <c r="D33" s="7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334"/>
      <c r="C34" s="336"/>
      <c r="D34" s="47"/>
    </row>
    <row r="35" spans="1:20" ht="15.75" customHeight="1">
      <c r="A35" s="1"/>
      <c r="B35" s="72" t="s">
        <v>17</v>
      </c>
      <c r="C35" s="73" t="s">
        <v>2</v>
      </c>
      <c r="D35" s="47"/>
    </row>
    <row r="36" spans="1:20" ht="15.75" customHeight="1">
      <c r="A36" s="1"/>
      <c r="B36" s="54" t="s">
        <v>18</v>
      </c>
      <c r="C36" s="55">
        <v>0</v>
      </c>
      <c r="D36" s="47"/>
    </row>
    <row r="37" spans="1:20" ht="15.75" customHeight="1">
      <c r="A37" s="1"/>
      <c r="B37" s="54" t="s">
        <v>19</v>
      </c>
      <c r="C37" s="55">
        <v>0</v>
      </c>
      <c r="D37" s="47"/>
    </row>
    <row r="38" spans="1:20" ht="15.75" customHeight="1">
      <c r="A38" s="1"/>
      <c r="B38" s="54" t="s">
        <v>20</v>
      </c>
      <c r="C38" s="55">
        <v>304.02999999999997</v>
      </c>
      <c r="D38" s="47"/>
    </row>
    <row r="39" spans="1:20" ht="15.75" customHeight="1">
      <c r="A39" s="1"/>
      <c r="B39" s="54" t="s">
        <v>21</v>
      </c>
      <c r="C39" s="55">
        <v>46864.959999999999</v>
      </c>
      <c r="D39" s="47"/>
    </row>
    <row r="40" spans="1:20" ht="15.75" customHeight="1">
      <c r="A40" s="1"/>
      <c r="B40" s="54" t="s">
        <v>22</v>
      </c>
      <c r="C40" s="55">
        <v>414.82</v>
      </c>
      <c r="D40" s="47"/>
    </row>
    <row r="41" spans="1:20" ht="15.75" customHeight="1">
      <c r="A41" s="1"/>
      <c r="B41" s="61" t="s">
        <v>23</v>
      </c>
      <c r="C41" s="74">
        <f>SUM(C36:C40)</f>
        <v>47583.81</v>
      </c>
      <c r="D41" s="47"/>
    </row>
    <row r="42" spans="1:20" ht="15.75" customHeight="1">
      <c r="A42" s="1"/>
      <c r="B42" s="58"/>
      <c r="C42" s="47"/>
      <c r="D42" s="47"/>
    </row>
    <row r="43" spans="1:20" ht="15.75" customHeight="1">
      <c r="A43" s="1"/>
      <c r="B43" s="61" t="s">
        <v>24</v>
      </c>
      <c r="C43" s="75" t="s">
        <v>2</v>
      </c>
      <c r="D43" s="47"/>
    </row>
    <row r="44" spans="1:20" ht="15.75" customHeight="1">
      <c r="A44" s="1"/>
      <c r="B44" s="54" t="s">
        <v>25</v>
      </c>
      <c r="C44" s="55">
        <v>33178189.510000002</v>
      </c>
      <c r="D44" s="47"/>
    </row>
    <row r="45" spans="1:20" ht="15.75" customHeight="1">
      <c r="A45" s="1"/>
      <c r="B45" s="54" t="s">
        <v>26</v>
      </c>
      <c r="C45" s="55">
        <v>9482876.0199999996</v>
      </c>
      <c r="D45" s="47"/>
    </row>
    <row r="46" spans="1:20" ht="15.75" customHeight="1">
      <c r="A46" s="1"/>
      <c r="B46" s="54" t="s">
        <v>27</v>
      </c>
      <c r="C46" s="55">
        <v>5325.81</v>
      </c>
      <c r="D46" s="47"/>
    </row>
    <row r="47" spans="1:20" ht="15.75" customHeight="1">
      <c r="A47" s="1"/>
      <c r="B47" s="61" t="s">
        <v>28</v>
      </c>
      <c r="C47" s="74">
        <f>SUM(C44:C46)</f>
        <v>42666391.340000004</v>
      </c>
      <c r="D47" s="47"/>
    </row>
    <row r="48" spans="1:20" ht="15.75" customHeight="1">
      <c r="A48" s="1"/>
      <c r="D48" s="47"/>
    </row>
    <row r="49" spans="1:4" ht="15.75" customHeight="1">
      <c r="A49" s="1"/>
      <c r="B49" s="78" t="s">
        <v>29</v>
      </c>
      <c r="C49" s="79">
        <f>C47+C41</f>
        <v>42713975.150000006</v>
      </c>
      <c r="D49" s="47"/>
    </row>
    <row r="50" spans="1:4" ht="15.75" customHeight="1">
      <c r="A50" s="1"/>
      <c r="B50" s="58"/>
      <c r="C50" s="47"/>
      <c r="D50" s="47"/>
    </row>
    <row r="51" spans="1:4" ht="15.75" customHeight="1">
      <c r="A51" s="1"/>
      <c r="B51" s="58"/>
      <c r="C51" s="47"/>
      <c r="D51" s="47"/>
    </row>
    <row r="52" spans="1:4" ht="15.75" customHeight="1">
      <c r="A52" s="1"/>
      <c r="B52" s="58"/>
      <c r="C52" s="47"/>
      <c r="D52" s="47"/>
    </row>
    <row r="53" spans="1:4" ht="15.75" customHeight="1">
      <c r="A53" s="1"/>
      <c r="B53" s="58"/>
      <c r="C53" s="47"/>
      <c r="D53" s="47"/>
    </row>
    <row r="54" spans="1:4" ht="15.75" customHeight="1">
      <c r="A54" s="1"/>
      <c r="B54" s="58"/>
      <c r="C54" s="47"/>
      <c r="D54" s="47"/>
    </row>
    <row r="55" spans="1:4" ht="15.75" customHeight="1">
      <c r="A55" s="1"/>
      <c r="B55" s="332" t="s">
        <v>30</v>
      </c>
      <c r="C55" s="332"/>
      <c r="D55" s="47"/>
    </row>
    <row r="56" spans="1:4" ht="15.75" customHeight="1">
      <c r="A56" s="1"/>
      <c r="B56" s="332" t="s">
        <v>42</v>
      </c>
      <c r="C56" s="332"/>
      <c r="D56" s="47"/>
    </row>
    <row r="57" spans="1:4" ht="15.75" customHeight="1">
      <c r="A57" s="1"/>
      <c r="B57" s="332" t="s">
        <v>43</v>
      </c>
      <c r="C57" s="332"/>
      <c r="D57" s="47"/>
    </row>
    <row r="58" spans="1:4" ht="15.75" customHeight="1">
      <c r="A58" s="1"/>
      <c r="B58" s="58"/>
      <c r="C58" s="47"/>
      <c r="D58" s="47"/>
    </row>
    <row r="59" spans="1:4" ht="15.75" customHeight="1">
      <c r="A59" s="1"/>
      <c r="B59" s="58"/>
      <c r="C59" s="47"/>
      <c r="D59" s="47"/>
    </row>
    <row r="60" spans="1:4" ht="15.75" customHeight="1">
      <c r="A60" s="1"/>
      <c r="B60" s="58"/>
      <c r="C60" s="47"/>
      <c r="D60" s="47"/>
    </row>
    <row r="61" spans="1:4" ht="15.75" customHeight="1">
      <c r="A61" s="1"/>
      <c r="B61" s="58"/>
      <c r="C61" s="47"/>
      <c r="D61" s="47"/>
    </row>
    <row r="62" spans="1:4" s="1" customFormat="1" ht="15.75" customHeight="1">
      <c r="B62" s="58"/>
      <c r="C62" s="47"/>
      <c r="D62" s="47"/>
    </row>
    <row r="63" spans="1:4" s="1" customFormat="1" ht="15.75" customHeight="1">
      <c r="B63" s="58"/>
      <c r="C63" s="47"/>
      <c r="D63" s="47"/>
    </row>
    <row r="64" spans="1:4" s="1" customFormat="1" ht="15.75" customHeight="1">
      <c r="B64" s="58"/>
      <c r="C64" s="47"/>
      <c r="D64" s="47"/>
    </row>
    <row r="65" spans="2:4" s="1" customFormat="1" ht="15.75" customHeight="1">
      <c r="B65" s="58"/>
      <c r="C65" s="47"/>
      <c r="D65" s="47"/>
    </row>
    <row r="66" spans="2:4" s="1" customFormat="1" ht="15.75" customHeight="1">
      <c r="B66" s="58"/>
      <c r="C66" s="47"/>
      <c r="D66" s="47"/>
    </row>
    <row r="67" spans="2:4" s="1" customFormat="1" ht="15.75" customHeight="1">
      <c r="B67" s="58"/>
      <c r="C67" s="47"/>
      <c r="D67" s="47"/>
    </row>
    <row r="68" spans="2:4" s="1" customFormat="1" ht="15.75" customHeight="1">
      <c r="B68" s="58"/>
      <c r="C68" s="47"/>
      <c r="D68" s="47"/>
    </row>
    <row r="69" spans="2:4" s="1" customFormat="1" ht="15.75" customHeight="1">
      <c r="B69" s="58"/>
      <c r="C69" s="47"/>
      <c r="D69" s="47"/>
    </row>
    <row r="70" spans="2:4" s="1" customFormat="1" ht="15.75" customHeight="1">
      <c r="B70" s="58"/>
      <c r="C70" s="47"/>
      <c r="D70" s="47"/>
    </row>
    <row r="71" spans="2:4" s="1" customFormat="1" ht="15.75" customHeight="1">
      <c r="B71" s="58"/>
      <c r="C71" s="47"/>
      <c r="D71" s="47"/>
    </row>
    <row r="72" spans="2:4" s="1" customFormat="1" ht="15.75" customHeight="1">
      <c r="B72" s="58"/>
      <c r="C72" s="47"/>
      <c r="D72" s="47"/>
    </row>
    <row r="73" spans="2:4" s="1" customFormat="1" ht="15.75" customHeight="1">
      <c r="B73" s="58"/>
      <c r="C73" s="47"/>
      <c r="D73" s="47"/>
    </row>
    <row r="74" spans="2:4" s="1" customFormat="1" ht="15.75" customHeight="1">
      <c r="B74" s="58"/>
      <c r="C74" s="47"/>
      <c r="D74" s="47"/>
    </row>
    <row r="75" spans="2:4" s="1" customFormat="1" ht="15.75" customHeight="1">
      <c r="B75" s="58"/>
      <c r="C75" s="47"/>
      <c r="D75" s="47"/>
    </row>
    <row r="76" spans="2:4" s="1" customFormat="1" ht="15.75" customHeight="1">
      <c r="B76" s="58"/>
      <c r="C76" s="47"/>
      <c r="D76" s="47"/>
    </row>
    <row r="77" spans="2:4" s="1" customFormat="1" ht="15.75" customHeight="1">
      <c r="B77" s="58"/>
      <c r="C77" s="47"/>
      <c r="D77" s="47"/>
    </row>
    <row r="78" spans="2:4" s="1" customFormat="1" ht="15.75" customHeight="1">
      <c r="B78" s="58"/>
      <c r="C78" s="47"/>
      <c r="D78" s="47"/>
    </row>
    <row r="79" spans="2:4" s="1" customFormat="1" ht="15.75" customHeight="1">
      <c r="B79" s="58"/>
      <c r="C79" s="47"/>
      <c r="D79" s="47"/>
    </row>
    <row r="80" spans="2:4" s="1" customFormat="1" ht="15.75" customHeight="1">
      <c r="B80" s="58"/>
      <c r="C80" s="47"/>
      <c r="D80" s="47"/>
    </row>
    <row r="81" spans="2:4" s="1" customFormat="1" ht="15.75" customHeight="1">
      <c r="B81" s="58"/>
      <c r="C81" s="47"/>
      <c r="D81" s="47"/>
    </row>
    <row r="82" spans="2:4" s="1" customFormat="1" ht="15.75" customHeight="1">
      <c r="B82" s="58"/>
      <c r="C82" s="47"/>
      <c r="D82" s="47"/>
    </row>
    <row r="83" spans="2:4" s="1" customFormat="1" ht="15.75" customHeight="1">
      <c r="B83" s="58"/>
      <c r="C83" s="47"/>
      <c r="D83" s="47"/>
    </row>
    <row r="84" spans="2:4" s="1" customFormat="1" ht="15.75" customHeight="1">
      <c r="B84" s="58"/>
      <c r="C84" s="47"/>
      <c r="D84" s="47"/>
    </row>
    <row r="85" spans="2:4" s="1" customFormat="1" ht="15.75" customHeight="1">
      <c r="B85" s="58"/>
      <c r="C85" s="47"/>
      <c r="D85" s="47"/>
    </row>
    <row r="86" spans="2:4" s="1" customFormat="1" ht="15.75" customHeight="1">
      <c r="B86" s="58"/>
      <c r="C86" s="47"/>
      <c r="D86" s="47"/>
    </row>
    <row r="87" spans="2:4" s="1" customFormat="1" ht="15.75" customHeight="1">
      <c r="B87" s="58"/>
      <c r="C87" s="47"/>
      <c r="D87" s="47"/>
    </row>
    <row r="88" spans="2:4" s="1" customFormat="1" ht="15.75" customHeight="1">
      <c r="B88" s="58"/>
      <c r="C88" s="47"/>
      <c r="D88" s="47"/>
    </row>
    <row r="89" spans="2:4" s="1" customFormat="1" ht="15.75" customHeight="1">
      <c r="B89" s="58"/>
      <c r="C89" s="47"/>
      <c r="D89" s="47"/>
    </row>
    <row r="90" spans="2:4" s="1" customFormat="1" ht="15.75" customHeight="1">
      <c r="B90" s="58"/>
      <c r="C90" s="47"/>
      <c r="D90" s="47"/>
    </row>
    <row r="91" spans="2:4" s="1" customFormat="1" ht="15.75" customHeight="1">
      <c r="B91" s="58"/>
      <c r="C91" s="47"/>
      <c r="D91" s="47"/>
    </row>
    <row r="92" spans="2:4" s="1" customFormat="1" ht="15.75" customHeight="1">
      <c r="B92" s="58"/>
      <c r="C92" s="47"/>
      <c r="D92" s="47"/>
    </row>
    <row r="93" spans="2:4" s="1" customFormat="1" ht="15.75" customHeight="1">
      <c r="B93" s="58"/>
      <c r="C93" s="47"/>
      <c r="D93" s="47"/>
    </row>
    <row r="94" spans="2:4" s="1" customFormat="1" ht="15.75" customHeight="1">
      <c r="B94" s="58"/>
      <c r="C94" s="47"/>
      <c r="D94" s="47"/>
    </row>
    <row r="95" spans="2:4" s="1" customFormat="1" ht="15.75" customHeight="1">
      <c r="B95" s="58"/>
      <c r="C95" s="47"/>
      <c r="D95" s="47"/>
    </row>
    <row r="96" spans="2:4" s="1" customFormat="1" ht="15.75" customHeight="1">
      <c r="B96" s="58"/>
      <c r="C96" s="47"/>
      <c r="D96" s="47"/>
    </row>
    <row r="97" spans="2:4" s="1" customFormat="1" ht="15.75" customHeight="1">
      <c r="B97" s="58"/>
      <c r="C97" s="47"/>
      <c r="D97" s="47"/>
    </row>
    <row r="98" spans="2:4" s="1" customFormat="1" ht="15.75" customHeight="1">
      <c r="B98" s="58"/>
      <c r="C98" s="47"/>
      <c r="D98" s="47"/>
    </row>
    <row r="99" spans="2:4" s="1" customFormat="1" ht="15.75" customHeight="1">
      <c r="B99" s="58"/>
      <c r="C99" s="47"/>
      <c r="D99" s="47"/>
    </row>
    <row r="100" spans="2:4" s="1" customFormat="1" ht="15.75" customHeight="1">
      <c r="B100" s="58"/>
      <c r="C100" s="47"/>
      <c r="D100" s="47"/>
    </row>
    <row r="101" spans="2:4" s="1" customFormat="1" ht="15.75" customHeight="1">
      <c r="B101" s="58"/>
      <c r="C101" s="47"/>
      <c r="D101" s="47"/>
    </row>
    <row r="102" spans="2:4" s="1" customFormat="1" ht="15.75" customHeight="1">
      <c r="B102" s="58"/>
      <c r="C102" s="47"/>
      <c r="D102" s="47"/>
    </row>
    <row r="103" spans="2:4" s="1" customFormat="1" ht="15.75" customHeight="1">
      <c r="B103" s="58"/>
      <c r="C103" s="47"/>
      <c r="D103" s="47"/>
    </row>
    <row r="104" spans="2:4" s="1" customFormat="1" ht="15.75" customHeight="1">
      <c r="B104" s="58"/>
      <c r="C104" s="47"/>
      <c r="D104" s="47"/>
    </row>
    <row r="105" spans="2:4" s="1" customFormat="1" ht="15.75" customHeight="1">
      <c r="B105" s="58"/>
      <c r="C105" s="47"/>
      <c r="D105" s="47"/>
    </row>
    <row r="106" spans="2:4" s="1" customFormat="1" ht="15.75" customHeight="1">
      <c r="B106" s="58"/>
      <c r="C106" s="47"/>
      <c r="D106" s="47"/>
    </row>
    <row r="107" spans="2:4" s="1" customFormat="1" ht="15.75" customHeight="1">
      <c r="B107" s="58"/>
      <c r="C107" s="47"/>
      <c r="D107" s="47"/>
    </row>
    <row r="108" spans="2:4" s="1" customFormat="1" ht="15.75" customHeight="1">
      <c r="B108" s="58"/>
      <c r="C108" s="47"/>
      <c r="D108" s="47"/>
    </row>
    <row r="109" spans="2:4" s="1" customFormat="1" ht="15.75" customHeight="1">
      <c r="B109" s="58"/>
      <c r="C109" s="47"/>
      <c r="D109" s="47"/>
    </row>
    <row r="110" spans="2:4" s="1" customFormat="1" ht="15.75" customHeight="1">
      <c r="B110" s="58"/>
      <c r="C110" s="47"/>
      <c r="D110" s="47"/>
    </row>
    <row r="111" spans="2:4" s="1" customFormat="1" ht="15.75" customHeight="1">
      <c r="B111" s="58"/>
      <c r="C111" s="47"/>
      <c r="D111" s="47"/>
    </row>
    <row r="112" spans="2:4" s="1" customFormat="1" ht="15.75" customHeight="1">
      <c r="B112" s="58"/>
      <c r="C112" s="47"/>
      <c r="D112" s="47"/>
    </row>
    <row r="113" spans="2:4" s="1" customFormat="1" ht="15.75" customHeight="1">
      <c r="B113" s="58"/>
      <c r="C113" s="47"/>
      <c r="D113" s="47"/>
    </row>
    <row r="114" spans="2:4" s="1" customFormat="1" ht="15.75" customHeight="1">
      <c r="B114" s="58"/>
      <c r="C114" s="47"/>
      <c r="D114" s="47"/>
    </row>
    <row r="115" spans="2:4" s="1" customFormat="1" ht="15.75" customHeight="1">
      <c r="B115" s="58"/>
      <c r="C115" s="47"/>
      <c r="D115" s="47"/>
    </row>
    <row r="116" spans="2:4" s="1" customFormat="1" ht="15.75" customHeight="1">
      <c r="B116" s="58"/>
      <c r="C116" s="47"/>
      <c r="D116" s="47"/>
    </row>
    <row r="117" spans="2:4" s="1" customFormat="1" ht="15.75" customHeight="1">
      <c r="B117" s="58"/>
      <c r="C117" s="47"/>
      <c r="D117" s="47"/>
    </row>
    <row r="118" spans="2:4" s="1" customFormat="1" ht="15.75" customHeight="1">
      <c r="B118" s="58"/>
      <c r="C118" s="47"/>
      <c r="D118" s="47"/>
    </row>
    <row r="119" spans="2:4" s="1" customFormat="1" ht="15.75" customHeight="1">
      <c r="B119" s="58"/>
      <c r="C119" s="47"/>
      <c r="D119" s="47"/>
    </row>
    <row r="120" spans="2:4" s="1" customFormat="1" ht="15.75" customHeight="1">
      <c r="B120" s="58"/>
      <c r="C120" s="47"/>
      <c r="D120" s="47"/>
    </row>
    <row r="121" spans="2:4" s="1" customFormat="1" ht="15.75" customHeight="1">
      <c r="B121" s="58"/>
      <c r="C121" s="47"/>
      <c r="D121" s="47"/>
    </row>
    <row r="122" spans="2:4" s="1" customFormat="1" ht="15.75" customHeight="1">
      <c r="B122" s="58"/>
      <c r="C122" s="47"/>
      <c r="D122" s="47"/>
    </row>
    <row r="123" spans="2:4" s="1" customFormat="1" ht="15.75" customHeight="1">
      <c r="B123" s="58"/>
      <c r="C123" s="47"/>
      <c r="D123" s="47"/>
    </row>
    <row r="124" spans="2:4" s="1" customFormat="1" ht="15.75" customHeight="1">
      <c r="B124" s="58"/>
      <c r="C124" s="47"/>
      <c r="D124" s="47"/>
    </row>
    <row r="125" spans="2:4" s="1" customFormat="1" ht="15.75" customHeight="1">
      <c r="B125" s="58"/>
      <c r="C125" s="47"/>
      <c r="D125" s="47"/>
    </row>
    <row r="126" spans="2:4" s="1" customFormat="1" ht="15.75" customHeight="1">
      <c r="B126" s="58"/>
      <c r="C126" s="47"/>
      <c r="D126" s="47"/>
    </row>
    <row r="127" spans="2:4" s="1" customFormat="1" ht="15.75" customHeight="1">
      <c r="B127" s="58"/>
      <c r="C127" s="47"/>
      <c r="D127" s="47"/>
    </row>
    <row r="128" spans="2:4" s="1" customFormat="1" ht="15.75" customHeight="1">
      <c r="B128" s="58"/>
      <c r="C128" s="47"/>
      <c r="D128" s="47"/>
    </row>
    <row r="129" spans="2:4" s="1" customFormat="1" ht="15.75" customHeight="1">
      <c r="B129" s="58"/>
      <c r="C129" s="47"/>
      <c r="D129" s="47"/>
    </row>
    <row r="130" spans="2:4" s="1" customFormat="1" ht="15.75" customHeight="1">
      <c r="B130" s="58"/>
      <c r="C130" s="47"/>
      <c r="D130" s="47"/>
    </row>
    <row r="131" spans="2:4" s="1" customFormat="1" ht="15.75" customHeight="1">
      <c r="B131" s="58"/>
      <c r="C131" s="47"/>
      <c r="D131" s="47"/>
    </row>
    <row r="132" spans="2:4" s="1" customFormat="1" ht="15.75" customHeight="1">
      <c r="B132" s="58"/>
      <c r="C132" s="47"/>
      <c r="D132" s="47"/>
    </row>
    <row r="133" spans="2:4" s="1" customFormat="1" ht="15.75" customHeight="1">
      <c r="B133" s="58"/>
      <c r="C133" s="47"/>
      <c r="D133" s="47"/>
    </row>
    <row r="134" spans="2:4" s="1" customFormat="1" ht="15.75" customHeight="1">
      <c r="B134" s="58"/>
      <c r="C134" s="47"/>
      <c r="D134" s="47"/>
    </row>
    <row r="135" spans="2:4" s="1" customFormat="1" ht="15.75" customHeight="1">
      <c r="B135" s="58"/>
      <c r="C135" s="47"/>
      <c r="D135" s="47"/>
    </row>
    <row r="136" spans="2:4" s="1" customFormat="1" ht="15.75" customHeight="1">
      <c r="B136" s="58"/>
      <c r="C136" s="47"/>
      <c r="D136" s="47"/>
    </row>
    <row r="137" spans="2:4" s="1" customFormat="1" ht="15.75" customHeight="1">
      <c r="B137" s="58"/>
      <c r="C137" s="47"/>
      <c r="D137" s="47"/>
    </row>
    <row r="138" spans="2:4" s="1" customFormat="1" ht="15.75" customHeight="1">
      <c r="B138" s="58"/>
      <c r="C138" s="47"/>
      <c r="D138" s="47"/>
    </row>
    <row r="139" spans="2:4" s="1" customFormat="1" ht="15.75" customHeight="1">
      <c r="B139" s="58"/>
      <c r="C139" s="47"/>
      <c r="D139" s="47"/>
    </row>
    <row r="140" spans="2:4" s="1" customFormat="1" ht="15.75" customHeight="1">
      <c r="B140" s="58"/>
      <c r="C140" s="47"/>
      <c r="D140" s="47"/>
    </row>
    <row r="141" spans="2:4" s="1" customFormat="1" ht="15.75" customHeight="1">
      <c r="B141" s="58"/>
      <c r="C141" s="47"/>
      <c r="D141" s="47"/>
    </row>
    <row r="142" spans="2:4" s="1" customFormat="1" ht="15.75" customHeight="1">
      <c r="B142" s="58"/>
      <c r="C142" s="47"/>
      <c r="D142" s="47"/>
    </row>
    <row r="143" spans="2:4" s="1" customFormat="1" ht="15.75" customHeight="1">
      <c r="B143" s="58"/>
      <c r="C143" s="47"/>
      <c r="D143" s="47"/>
    </row>
    <row r="144" spans="2:4" s="1" customFormat="1" ht="15.75" customHeight="1">
      <c r="B144" s="58"/>
      <c r="C144" s="47"/>
      <c r="D144" s="47"/>
    </row>
    <row r="145" spans="2:4" s="1" customFormat="1" ht="15.75" customHeight="1">
      <c r="B145" s="58"/>
      <c r="C145" s="47"/>
      <c r="D145" s="47"/>
    </row>
    <row r="146" spans="2:4" s="1" customFormat="1" ht="15.75" customHeight="1">
      <c r="B146" s="58"/>
      <c r="C146" s="47"/>
      <c r="D146" s="47"/>
    </row>
    <row r="147" spans="2:4" s="1" customFormat="1" ht="15.75" customHeight="1">
      <c r="B147" s="58"/>
      <c r="C147" s="47"/>
      <c r="D147" s="47"/>
    </row>
    <row r="148" spans="2:4" s="1" customFormat="1" ht="15.75" customHeight="1">
      <c r="B148" s="58"/>
      <c r="C148" s="47"/>
      <c r="D148" s="47"/>
    </row>
    <row r="149" spans="2:4" s="1" customFormat="1" ht="15.75" customHeight="1">
      <c r="B149" s="58"/>
      <c r="C149" s="47"/>
      <c r="D149" s="47"/>
    </row>
    <row r="150" spans="2:4" s="1" customFormat="1" ht="15.75" customHeight="1">
      <c r="B150" s="58"/>
      <c r="C150" s="47"/>
      <c r="D150" s="47"/>
    </row>
    <row r="151" spans="2:4" s="1" customFormat="1" ht="15.75" customHeight="1">
      <c r="B151" s="58"/>
      <c r="C151" s="47"/>
      <c r="D151" s="47"/>
    </row>
    <row r="152" spans="2:4" s="1" customFormat="1" ht="15.75" customHeight="1">
      <c r="B152" s="58"/>
      <c r="C152" s="47"/>
      <c r="D152" s="47"/>
    </row>
    <row r="153" spans="2:4" s="1" customFormat="1" ht="15.75" customHeight="1">
      <c r="B153" s="58"/>
      <c r="C153" s="47"/>
      <c r="D153" s="47"/>
    </row>
    <row r="154" spans="2:4" s="1" customFormat="1" ht="15.75" customHeight="1">
      <c r="B154" s="58"/>
      <c r="C154" s="47"/>
      <c r="D154" s="47"/>
    </row>
    <row r="155" spans="2:4" s="1" customFormat="1" ht="15.75" customHeight="1">
      <c r="B155" s="58"/>
      <c r="C155" s="47"/>
      <c r="D155" s="47"/>
    </row>
    <row r="156" spans="2:4" s="1" customFormat="1" ht="15.75" customHeight="1">
      <c r="B156" s="58"/>
      <c r="C156" s="47"/>
      <c r="D156" s="47"/>
    </row>
    <row r="157" spans="2:4" s="1" customFormat="1" ht="15.75" customHeight="1">
      <c r="B157" s="58"/>
      <c r="C157" s="47"/>
      <c r="D157" s="47"/>
    </row>
    <row r="158" spans="2:4" s="1" customFormat="1" ht="15.75" customHeight="1">
      <c r="B158" s="58"/>
      <c r="C158" s="47"/>
      <c r="D158" s="47"/>
    </row>
    <row r="159" spans="2:4" s="1" customFormat="1" ht="15.75" customHeight="1">
      <c r="B159" s="58"/>
      <c r="C159" s="47"/>
      <c r="D159" s="47"/>
    </row>
    <row r="160" spans="2:4" s="1" customFormat="1" ht="15.75" customHeight="1">
      <c r="B160" s="58"/>
      <c r="C160" s="47"/>
      <c r="D160" s="47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verticalDpi="0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B61"/>
  <sheetViews>
    <sheetView showGridLines="0" topLeftCell="F1" workbookViewId="0">
      <selection activeCell="C26" sqref="C26:K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3" width="18.7109375" style="108" bestFit="1" customWidth="1"/>
    <col min="4" max="4" width="20.7109375" style="148" customWidth="1"/>
    <col min="5" max="5" width="20.7109375" style="108" customWidth="1"/>
    <col min="6" max="6" width="19.5703125" style="108" bestFit="1" customWidth="1"/>
    <col min="7" max="8" width="18.7109375" style="108" bestFit="1" customWidth="1"/>
    <col min="9" max="9" width="21.42578125" style="108" customWidth="1"/>
    <col min="10" max="12" width="20" style="108" bestFit="1" customWidth="1"/>
    <col min="13" max="13" width="6.85546875" style="108" customWidth="1"/>
    <col min="14" max="14" width="18.42578125" style="148" bestFit="1" customWidth="1"/>
    <col min="15" max="15" width="14.7109375" style="151" bestFit="1" customWidth="1"/>
    <col min="16" max="16" width="13.5703125" style="151" bestFit="1" customWidth="1"/>
    <col min="17" max="28" width="9.5703125" style="108" customWidth="1"/>
    <col min="29" max="1032" width="9.42578125" style="108" customWidth="1"/>
    <col min="1033" max="16384" width="9.140625" style="108"/>
  </cols>
  <sheetData>
    <row r="1" spans="1:28" ht="15.75" customHeight="1">
      <c r="A1" s="106" t="s">
        <v>118</v>
      </c>
      <c r="B1" s="106"/>
      <c r="C1" s="106"/>
      <c r="D1" s="144"/>
      <c r="E1" s="106"/>
      <c r="F1" s="106"/>
      <c r="G1" s="106"/>
      <c r="H1" s="106"/>
      <c r="I1" s="106"/>
      <c r="J1" s="109"/>
      <c r="K1" s="109"/>
      <c r="L1" s="109"/>
      <c r="M1" s="106"/>
      <c r="N1" s="144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15.75" customHeight="1">
      <c r="A2" s="106"/>
      <c r="B2" s="106"/>
      <c r="C2" s="106"/>
      <c r="D2" s="144"/>
      <c r="E2" s="106"/>
      <c r="F2" s="106"/>
      <c r="G2" s="106"/>
      <c r="H2" s="106"/>
      <c r="I2" s="106"/>
      <c r="J2" s="109"/>
      <c r="K2" s="109"/>
      <c r="L2" s="109"/>
      <c r="M2" s="106"/>
      <c r="N2" s="144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28" ht="15.75" customHeight="1">
      <c r="A3" s="106"/>
      <c r="B3" s="367" t="s">
        <v>173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106"/>
      <c r="N3" s="144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 ht="15.75" customHeight="1">
      <c r="A4" s="106"/>
      <c r="B4" s="106"/>
      <c r="C4" s="106"/>
      <c r="D4" s="144"/>
      <c r="E4" s="106"/>
      <c r="F4" s="106"/>
      <c r="G4" s="106"/>
      <c r="H4" s="106"/>
      <c r="I4" s="106"/>
      <c r="J4" s="109"/>
      <c r="K4" s="109"/>
      <c r="L4" s="109"/>
      <c r="M4" s="106"/>
      <c r="N4" s="144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28" ht="15.75" customHeight="1">
      <c r="A5" s="106"/>
      <c r="B5" s="106"/>
      <c r="C5" s="106"/>
      <c r="D5" s="144"/>
      <c r="E5" s="106"/>
      <c r="F5" s="106"/>
      <c r="G5" s="106"/>
      <c r="H5" s="106"/>
      <c r="I5" s="106"/>
      <c r="J5" s="109"/>
      <c r="K5" s="109"/>
      <c r="L5" s="109"/>
      <c r="M5" s="106"/>
      <c r="N5" s="144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</row>
    <row r="6" spans="1:28" s="141" customFormat="1" ht="24.95" customHeight="1">
      <c r="A6" s="140"/>
      <c r="B6" s="139" t="s">
        <v>0</v>
      </c>
      <c r="C6" s="139" t="s">
        <v>90</v>
      </c>
      <c r="D6" s="173" t="s">
        <v>85</v>
      </c>
      <c r="E6" s="139" t="s">
        <v>77</v>
      </c>
      <c r="F6" s="139" t="s">
        <v>69</v>
      </c>
      <c r="G6" s="139" t="s">
        <v>61</v>
      </c>
      <c r="H6" s="139" t="s">
        <v>53</v>
      </c>
      <c r="I6" s="139" t="s">
        <v>44</v>
      </c>
      <c r="J6" s="139" t="s">
        <v>151</v>
      </c>
      <c r="K6" s="139" t="s">
        <v>31</v>
      </c>
      <c r="L6" s="139">
        <v>2022</v>
      </c>
      <c r="M6" s="140"/>
      <c r="N6" s="145"/>
      <c r="O6" s="151"/>
      <c r="P6" s="151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 s="112" customFormat="1" ht="15.75" customHeight="1">
      <c r="A7" s="111"/>
      <c r="B7" s="350" t="s">
        <v>127</v>
      </c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111"/>
      <c r="N7" s="146"/>
      <c r="O7" s="151"/>
      <c r="P7" s="15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8" s="142" customFormat="1" ht="15.75" customHeight="1">
      <c r="A8" s="111"/>
      <c r="B8" s="352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111"/>
      <c r="N8" s="146"/>
      <c r="O8" s="151"/>
      <c r="P8" s="15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8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1"/>
      <c r="N9" s="146"/>
      <c r="O9" s="151"/>
      <c r="P9" s="15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7.100000000000001" customHeight="1">
      <c r="A10" s="106"/>
      <c r="B10" s="136" t="s">
        <v>3</v>
      </c>
      <c r="C10" s="168">
        <v>635941.19999999995</v>
      </c>
      <c r="D10" s="168">
        <v>597854.14</v>
      </c>
      <c r="E10" s="168">
        <v>595267.09</v>
      </c>
      <c r="F10" s="168">
        <v>727581.54</v>
      </c>
      <c r="G10" s="168">
        <v>524966.87</v>
      </c>
      <c r="H10" s="168">
        <v>535990.88</v>
      </c>
      <c r="I10" s="168">
        <v>636880.65</v>
      </c>
      <c r="J10" s="138">
        <v>358179.72</v>
      </c>
      <c r="K10" s="138">
        <f>467985.07+2546.27</f>
        <v>470531.34</v>
      </c>
      <c r="L10" s="138">
        <f>SUM(C10:K10)</f>
        <v>5083193.43</v>
      </c>
      <c r="M10" s="106"/>
      <c r="N10" s="147"/>
      <c r="O10" s="152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</row>
    <row r="11" spans="1:28" ht="17.100000000000001" customHeight="1">
      <c r="A11" s="106"/>
      <c r="B11" s="114" t="s">
        <v>4</v>
      </c>
      <c r="C11" s="168">
        <v>404739.76</v>
      </c>
      <c r="D11" s="169">
        <v>380502.6</v>
      </c>
      <c r="E11" s="169">
        <v>378856.21</v>
      </c>
      <c r="F11" s="169">
        <v>463056.11</v>
      </c>
      <c r="G11" s="169">
        <v>487801.26</v>
      </c>
      <c r="H11" s="169">
        <v>189358.6</v>
      </c>
      <c r="I11" s="169">
        <v>405387.8</v>
      </c>
      <c r="J11" s="135">
        <v>227932.55</v>
      </c>
      <c r="K11" s="135">
        <v>452327.34</v>
      </c>
      <c r="L11" s="138">
        <f t="shared" ref="L11:L20" si="0">SUM(C11:K11)</f>
        <v>3389962.23</v>
      </c>
      <c r="M11" s="106"/>
      <c r="N11" s="147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8" ht="17.100000000000001" customHeight="1">
      <c r="A12" s="106"/>
      <c r="B12" s="114" t="s">
        <v>201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126693.92</v>
      </c>
      <c r="H12" s="171">
        <v>126693.92</v>
      </c>
      <c r="I12" s="170">
        <v>126693.92</v>
      </c>
      <c r="J12" s="115">
        <v>126693.92</v>
      </c>
      <c r="K12" s="115">
        <v>126693.92</v>
      </c>
      <c r="L12" s="138">
        <f t="shared" si="0"/>
        <v>1686684.5999999996</v>
      </c>
      <c r="M12" s="106"/>
      <c r="N12" s="147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ht="17.100000000000001" customHeight="1">
      <c r="A13" s="106"/>
      <c r="B13" s="114" t="s">
        <v>6</v>
      </c>
      <c r="C13" s="171">
        <v>404682.47</v>
      </c>
      <c r="D13" s="171">
        <v>676344.82</v>
      </c>
      <c r="E13" s="171">
        <v>421416.32</v>
      </c>
      <c r="F13" s="171">
        <v>-84090.74</v>
      </c>
      <c r="G13" s="171">
        <v>505838.52</v>
      </c>
      <c r="H13" s="171">
        <v>16001.38</v>
      </c>
      <c r="I13" s="171">
        <v>809918.94</v>
      </c>
      <c r="J13" s="115">
        <v>98226.79</v>
      </c>
      <c r="K13" s="115">
        <v>38967.99</v>
      </c>
      <c r="L13" s="138">
        <f t="shared" si="0"/>
        <v>2887306.49</v>
      </c>
      <c r="N13" s="147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</row>
    <row r="14" spans="1:28" ht="17.100000000000001" customHeight="1">
      <c r="A14" s="106"/>
      <c r="B14" s="114" t="s">
        <v>202</v>
      </c>
      <c r="C14" s="171">
        <f>57964.94+57617.15</f>
        <v>115582.09</v>
      </c>
      <c r="D14" s="171">
        <v>0</v>
      </c>
      <c r="E14" s="171">
        <v>57607.77</v>
      </c>
      <c r="F14" s="171">
        <v>57349.7</v>
      </c>
      <c r="G14" s="171">
        <v>56759.4</v>
      </c>
      <c r="H14" s="171">
        <v>55805.13</v>
      </c>
      <c r="I14" s="171">
        <v>55252.6</v>
      </c>
      <c r="J14" s="115">
        <v>54884.88</v>
      </c>
      <c r="K14" s="115">
        <v>54487.12</v>
      </c>
      <c r="L14" s="138">
        <f t="shared" si="0"/>
        <v>507728.69</v>
      </c>
      <c r="M14" s="106"/>
      <c r="N14" s="147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</row>
    <row r="15" spans="1:28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15">
        <v>23811.51</v>
      </c>
      <c r="L15" s="138">
        <f t="shared" si="0"/>
        <v>23811.51</v>
      </c>
      <c r="M15" s="106"/>
      <c r="N15" s="147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</row>
    <row r="16" spans="1:28" ht="17.100000000000001" customHeight="1">
      <c r="A16" s="106"/>
      <c r="B16" s="114" t="s">
        <v>203</v>
      </c>
      <c r="C16" s="171">
        <v>12936.32</v>
      </c>
      <c r="D16" s="171">
        <v>12949.78</v>
      </c>
      <c r="E16" s="171">
        <v>12742.8</v>
      </c>
      <c r="F16" s="171">
        <v>12621.89</v>
      </c>
      <c r="G16" s="171">
        <v>12430.62</v>
      </c>
      <c r="H16" s="171">
        <v>12368.92</v>
      </c>
      <c r="I16" s="171">
        <v>11980.7</v>
      </c>
      <c r="J16" s="115">
        <v>11840.9</v>
      </c>
      <c r="K16" s="115">
        <v>11697.01</v>
      </c>
      <c r="L16" s="138">
        <f t="shared" si="0"/>
        <v>111568.93999999999</v>
      </c>
      <c r="M16" s="106"/>
      <c r="N16" s="147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</row>
    <row r="17" spans="1:28" ht="17.100000000000001" customHeight="1">
      <c r="A17" s="106"/>
      <c r="B17" s="114" t="s">
        <v>204</v>
      </c>
      <c r="C17" s="171">
        <v>5393.18</v>
      </c>
      <c r="D17" s="171">
        <v>5398.8</v>
      </c>
      <c r="E17" s="171">
        <v>5312.52</v>
      </c>
      <c r="F17" s="171">
        <v>5262.12</v>
      </c>
      <c r="G17" s="171">
        <v>5182.37</v>
      </c>
      <c r="H17" s="171">
        <v>5156.6499999999996</v>
      </c>
      <c r="I17" s="171">
        <v>4994.8</v>
      </c>
      <c r="J17" s="115">
        <v>4936.5200000000004</v>
      </c>
      <c r="K17" s="115">
        <v>4876.53</v>
      </c>
      <c r="L17" s="138">
        <f t="shared" si="0"/>
        <v>46513.490000000005</v>
      </c>
      <c r="M17" s="106"/>
      <c r="N17" s="147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</row>
    <row r="18" spans="1:28" ht="17.100000000000001" customHeight="1">
      <c r="A18" s="106"/>
      <c r="B18" s="114" t="s">
        <v>205</v>
      </c>
      <c r="C18" s="171">
        <v>18476.41</v>
      </c>
      <c r="D18" s="171">
        <v>18497.71</v>
      </c>
      <c r="E18" s="171">
        <v>18201.28</v>
      </c>
      <c r="F18" s="171">
        <v>18028.2</v>
      </c>
      <c r="G18" s="171">
        <v>17753.55</v>
      </c>
      <c r="H18" s="171">
        <v>17665.8</v>
      </c>
      <c r="I18" s="171">
        <v>17111.64</v>
      </c>
      <c r="J18" s="115">
        <v>17026.22</v>
      </c>
      <c r="K18" s="115">
        <v>16706.07</v>
      </c>
      <c r="L18" s="138">
        <f t="shared" si="0"/>
        <v>159466.88</v>
      </c>
      <c r="M18" s="106"/>
      <c r="N18" s="147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</row>
    <row r="19" spans="1:28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82684.009999999995</v>
      </c>
      <c r="I19" s="171">
        <v>11242.71</v>
      </c>
      <c r="J19" s="115">
        <v>0</v>
      </c>
      <c r="K19" s="115">
        <v>0</v>
      </c>
      <c r="L19" s="138">
        <f t="shared" si="0"/>
        <v>150140.26999999999</v>
      </c>
      <c r="M19" s="106"/>
      <c r="N19" s="147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</row>
    <row r="20" spans="1:28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(1168.12*2)+(1943.36*2)</f>
        <v>6222.9599999999991</v>
      </c>
      <c r="H20" s="171">
        <v>0</v>
      </c>
      <c r="I20" s="171">
        <v>15557.47</v>
      </c>
      <c r="J20" s="115">
        <v>1168.1199999999999</v>
      </c>
      <c r="K20" s="115">
        <v>3231.48</v>
      </c>
      <c r="L20" s="138">
        <f t="shared" si="0"/>
        <v>38625.950000000004</v>
      </c>
      <c r="M20" s="106"/>
      <c r="N20" s="147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</row>
    <row r="21" spans="1:28" s="112" customFormat="1" ht="15.75" customHeight="1">
      <c r="A21" s="111"/>
      <c r="B21" s="116" t="s">
        <v>9</v>
      </c>
      <c r="C21" s="117">
        <f t="shared" ref="C21:K21" si="1">SUM(C10:C20)</f>
        <v>1875409.3699999999</v>
      </c>
      <c r="D21" s="117">
        <f t="shared" si="1"/>
        <v>1969205.79</v>
      </c>
      <c r="E21" s="117">
        <f t="shared" si="1"/>
        <v>1767061.9300000002</v>
      </c>
      <c r="F21" s="117">
        <f t="shared" si="1"/>
        <v>1477466.7599999998</v>
      </c>
      <c r="G21" s="117">
        <f t="shared" si="1"/>
        <v>1754892.1800000002</v>
      </c>
      <c r="H21" s="117">
        <f t="shared" si="1"/>
        <v>1041725.2900000002</v>
      </c>
      <c r="I21" s="117">
        <f t="shared" si="1"/>
        <v>2095021.2299999997</v>
      </c>
      <c r="J21" s="117">
        <f t="shared" si="1"/>
        <v>900889.62000000011</v>
      </c>
      <c r="K21" s="117">
        <f t="shared" si="1"/>
        <v>1203330.3100000003</v>
      </c>
      <c r="L21" s="117">
        <f>SUM(L10:L20)</f>
        <v>14085002.479999999</v>
      </c>
      <c r="M21" s="111"/>
      <c r="N21" s="146"/>
      <c r="O21" s="151"/>
      <c r="P21" s="15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1:28" ht="15.75" customHeight="1">
      <c r="A22" s="106"/>
      <c r="B22" s="106"/>
      <c r="C22" s="106"/>
      <c r="D22" s="147"/>
      <c r="E22" s="106"/>
      <c r="F22" s="106"/>
      <c r="G22" s="106"/>
      <c r="H22" s="106"/>
      <c r="I22" s="106"/>
      <c r="J22" s="109"/>
      <c r="K22" s="109"/>
      <c r="L22" s="109"/>
      <c r="M22" s="106"/>
      <c r="N22" s="147" t="s">
        <v>118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</row>
    <row r="23" spans="1:28" s="112" customFormat="1" ht="15.75" customHeight="1">
      <c r="A23" s="111"/>
      <c r="B23" s="350" t="s">
        <v>128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111"/>
      <c r="N23" s="146"/>
      <c r="O23" s="151"/>
      <c r="P23" s="15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1:28" ht="15.75" customHeight="1">
      <c r="A24" s="106"/>
      <c r="B24" s="352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106"/>
      <c r="N24" s="147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</row>
    <row r="25" spans="1:28" ht="17.100000000000001" customHeight="1">
      <c r="A25" s="106"/>
      <c r="B25" s="118" t="s">
        <v>121</v>
      </c>
      <c r="C25" s="118"/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06"/>
      <c r="N25" s="147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</row>
    <row r="26" spans="1:28" ht="17.100000000000001" customHeight="1">
      <c r="A26" s="106"/>
      <c r="B26" s="114" t="s">
        <v>179</v>
      </c>
      <c r="C26" s="171">
        <v>621961.06000000006</v>
      </c>
      <c r="D26" s="179">
        <v>615746.06999999995</v>
      </c>
      <c r="E26" s="171">
        <v>617621.43000000005</v>
      </c>
      <c r="F26" s="179">
        <v>925293.45</v>
      </c>
      <c r="G26" s="179">
        <v>755023.19</v>
      </c>
      <c r="H26" s="179">
        <v>548127.35</v>
      </c>
      <c r="I26" s="179">
        <v>542075.24</v>
      </c>
      <c r="J26" s="189">
        <v>495470.49</v>
      </c>
      <c r="K26" s="115">
        <v>487626.13</v>
      </c>
      <c r="L26" s="115">
        <f>SUM(C26:K26)</f>
        <v>5608944.4100000001</v>
      </c>
      <c r="M26" s="106"/>
      <c r="N26" s="147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</row>
    <row r="27" spans="1:28" ht="17.100000000000001" customHeight="1">
      <c r="A27" s="106"/>
      <c r="B27" s="114" t="s">
        <v>150</v>
      </c>
      <c r="C27" s="171">
        <v>66848.59</v>
      </c>
      <c r="D27" s="179">
        <v>69264.009999999995</v>
      </c>
      <c r="E27" s="171">
        <v>64433.17</v>
      </c>
      <c r="F27" s="179">
        <v>97154.79</v>
      </c>
      <c r="G27" s="179">
        <v>67044.08</v>
      </c>
      <c r="H27" s="179">
        <v>64945.72</v>
      </c>
      <c r="I27" s="179">
        <v>64945.72</v>
      </c>
      <c r="J27" s="189">
        <v>63584.02</v>
      </c>
      <c r="K27" s="115">
        <v>65481.06</v>
      </c>
      <c r="L27" s="115">
        <f t="shared" ref="L27:L30" si="2">SUM(C27:K27)</f>
        <v>623701.15999999992</v>
      </c>
      <c r="M27" s="106"/>
      <c r="N27" s="147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</row>
    <row r="28" spans="1:28" ht="17.100000000000001" customHeight="1">
      <c r="A28" s="106"/>
      <c r="B28" s="114" t="s">
        <v>171</v>
      </c>
      <c r="C28" s="191">
        <v>37429.24</v>
      </c>
      <c r="D28" s="191">
        <v>36658.53</v>
      </c>
      <c r="E28" s="191">
        <v>38537.58</v>
      </c>
      <c r="F28" s="191">
        <v>46269.5</v>
      </c>
      <c r="G28" s="191">
        <v>40256.519999999997</v>
      </c>
      <c r="H28" s="191">
        <v>27034.39</v>
      </c>
      <c r="I28" s="191">
        <v>24052.01</v>
      </c>
      <c r="J28" s="190">
        <v>21886.080000000002</v>
      </c>
      <c r="K28" s="119">
        <v>17676.18</v>
      </c>
      <c r="L28" s="115">
        <f t="shared" si="2"/>
        <v>289800.02999999997</v>
      </c>
      <c r="M28" s="106"/>
      <c r="N28" s="147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</row>
    <row r="29" spans="1:28" ht="17.100000000000001" customHeight="1">
      <c r="A29" s="106"/>
      <c r="B29" s="114" t="s">
        <v>193</v>
      </c>
      <c r="C29" s="171">
        <f>1531.08</f>
        <v>1531.08</v>
      </c>
      <c r="D29" s="179">
        <f>1531.08</f>
        <v>1531.08</v>
      </c>
      <c r="E29" s="179">
        <v>1277.42</v>
      </c>
      <c r="F29" s="179">
        <f>1531.08</f>
        <v>1531.08</v>
      </c>
      <c r="G29" s="179">
        <v>16262.03</v>
      </c>
      <c r="H29" s="179">
        <v>0</v>
      </c>
      <c r="I29" s="179">
        <v>0</v>
      </c>
      <c r="J29" s="189">
        <v>0</v>
      </c>
      <c r="K29" s="115">
        <v>0</v>
      </c>
      <c r="L29" s="115">
        <f t="shared" si="2"/>
        <v>22132.690000000002</v>
      </c>
      <c r="M29" s="106"/>
      <c r="N29" s="147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 ht="17.100000000000001" customHeight="1">
      <c r="A30" s="106"/>
      <c r="B30" s="114" t="s">
        <v>130</v>
      </c>
      <c r="C30" s="172">
        <v>45044</v>
      </c>
      <c r="D30" s="191">
        <v>76149.100000000006</v>
      </c>
      <c r="E30" s="172">
        <v>46552.78</v>
      </c>
      <c r="F30" s="191">
        <v>89171.65</v>
      </c>
      <c r="G30" s="191">
        <v>37362.04</v>
      </c>
      <c r="H30" s="191">
        <v>55560.09</v>
      </c>
      <c r="I30" s="191">
        <v>22252.83</v>
      </c>
      <c r="J30" s="190">
        <v>14595.13</v>
      </c>
      <c r="K30" s="119">
        <v>7086.12</v>
      </c>
      <c r="L30" s="115">
        <f t="shared" si="2"/>
        <v>393773.74000000005</v>
      </c>
      <c r="M30" s="106"/>
      <c r="N30" s="147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</row>
    <row r="31" spans="1:28" s="112" customFormat="1" ht="17.100000000000001" customHeight="1">
      <c r="A31" s="111"/>
      <c r="B31" s="120" t="s">
        <v>84</v>
      </c>
      <c r="C31" s="121">
        <f t="shared" ref="C31:K31" si="3">SUM(C26:C30)</f>
        <v>772813.97</v>
      </c>
      <c r="D31" s="121">
        <f t="shared" si="3"/>
        <v>799348.78999999992</v>
      </c>
      <c r="E31" s="121">
        <f t="shared" si="3"/>
        <v>768422.38000000012</v>
      </c>
      <c r="F31" s="121">
        <f t="shared" si="3"/>
        <v>1159420.47</v>
      </c>
      <c r="G31" s="121">
        <f t="shared" si="3"/>
        <v>915947.86</v>
      </c>
      <c r="H31" s="121">
        <f t="shared" si="3"/>
        <v>695667.54999999993</v>
      </c>
      <c r="I31" s="121">
        <f t="shared" si="3"/>
        <v>653325.79999999993</v>
      </c>
      <c r="J31" s="121">
        <f t="shared" si="3"/>
        <v>595535.72</v>
      </c>
      <c r="K31" s="121">
        <f t="shared" si="3"/>
        <v>577869.49</v>
      </c>
      <c r="L31" s="121">
        <f>SUM(L26:L30)</f>
        <v>6938352.0300000012</v>
      </c>
      <c r="M31" s="111"/>
      <c r="N31" s="146"/>
      <c r="O31" s="151"/>
      <c r="P31" s="15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s="112" customFormat="1" ht="17.100000000000001" customHeight="1">
      <c r="A32" s="111"/>
      <c r="B32" s="163" t="s">
        <v>14</v>
      </c>
      <c r="C32" s="164">
        <f>C21-C31</f>
        <v>1102595.3999999999</v>
      </c>
      <c r="D32" s="164">
        <f>D21-D31</f>
        <v>1169857</v>
      </c>
      <c r="E32" s="164">
        <f>E21-E31</f>
        <v>998639.55</v>
      </c>
      <c r="F32" s="164">
        <f>F21-F31</f>
        <v>318046.2899999998</v>
      </c>
      <c r="G32" s="164">
        <f>G21-G31</f>
        <v>838944.32000000018</v>
      </c>
      <c r="H32" s="164">
        <f t="shared" ref="H32:K32" si="4">H21-H31</f>
        <v>346057.74000000022</v>
      </c>
      <c r="I32" s="164">
        <f t="shared" si="4"/>
        <v>1441695.4299999997</v>
      </c>
      <c r="J32" s="164">
        <f t="shared" si="4"/>
        <v>305353.90000000014</v>
      </c>
      <c r="K32" s="164">
        <f t="shared" si="4"/>
        <v>625460.8200000003</v>
      </c>
      <c r="L32" s="159">
        <f>L21-L31</f>
        <v>7146650.4499999974</v>
      </c>
      <c r="M32" s="111"/>
      <c r="N32" s="146"/>
      <c r="O32" s="151"/>
      <c r="P32" s="15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ht="15.75" customHeight="1">
      <c r="A33" s="106"/>
      <c r="B33" s="106"/>
      <c r="C33" s="106"/>
      <c r="D33" s="147"/>
      <c r="E33" s="106"/>
      <c r="F33" s="106"/>
      <c r="G33" s="106"/>
      <c r="H33" s="106"/>
      <c r="I33" s="106"/>
      <c r="J33" s="109"/>
      <c r="K33" s="109"/>
      <c r="L33" s="109"/>
      <c r="M33" s="106"/>
      <c r="N33" s="147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</row>
    <row r="34" spans="1:28" s="112" customFormat="1" ht="15.75" customHeight="1">
      <c r="A34" s="111"/>
      <c r="B34" s="362" t="s">
        <v>15</v>
      </c>
      <c r="C34" s="363"/>
      <c r="D34" s="363"/>
      <c r="E34" s="363"/>
      <c r="F34" s="363"/>
      <c r="G34" s="363"/>
      <c r="H34" s="363"/>
      <c r="I34" s="363"/>
      <c r="J34" s="363"/>
      <c r="K34" s="363"/>
      <c r="L34" s="364"/>
      <c r="M34" s="111"/>
      <c r="N34" s="146"/>
      <c r="O34" s="151"/>
      <c r="P34" s="15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s="112" customFormat="1" ht="15.75" customHeight="1">
      <c r="A35" s="111"/>
      <c r="B35" s="350" t="s">
        <v>16</v>
      </c>
      <c r="C35" s="351"/>
      <c r="D35" s="351"/>
      <c r="E35" s="351"/>
      <c r="F35" s="351"/>
      <c r="G35" s="351"/>
      <c r="H35" s="351"/>
      <c r="I35" s="351"/>
      <c r="J35" s="351"/>
      <c r="K35" s="351"/>
      <c r="L35" s="365"/>
      <c r="M35" s="111"/>
      <c r="N35" s="146"/>
      <c r="O35" s="151"/>
      <c r="P35" s="15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ht="15.75" customHeight="1">
      <c r="A36" s="106"/>
      <c r="B36" s="352"/>
      <c r="C36" s="353"/>
      <c r="D36" s="353"/>
      <c r="E36" s="353"/>
      <c r="F36" s="353"/>
      <c r="G36" s="353"/>
      <c r="H36" s="353"/>
      <c r="I36" s="353"/>
      <c r="J36" s="353"/>
      <c r="K36" s="353"/>
      <c r="L36" s="366"/>
      <c r="M36" s="106"/>
      <c r="N36" s="147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</row>
    <row r="37" spans="1:28" ht="15.75" customHeight="1">
      <c r="A37" s="106"/>
      <c r="B37" s="153" t="s">
        <v>17</v>
      </c>
      <c r="C37" s="165"/>
      <c r="D37" s="174"/>
      <c r="E37" s="165"/>
      <c r="F37" s="165"/>
      <c r="G37" s="165"/>
      <c r="H37" s="165"/>
      <c r="I37" s="165"/>
      <c r="J37" s="154"/>
      <c r="K37" s="154"/>
      <c r="L37" s="130" t="s">
        <v>2</v>
      </c>
      <c r="M37" s="147"/>
      <c r="N37" s="151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</row>
    <row r="38" spans="1:28" ht="15.75" customHeight="1">
      <c r="A38" s="106"/>
      <c r="B38" s="136" t="s">
        <v>180</v>
      </c>
      <c r="C38" s="166"/>
      <c r="D38" s="175"/>
      <c r="E38" s="166"/>
      <c r="F38" s="166"/>
      <c r="G38" s="166"/>
      <c r="H38" s="166"/>
      <c r="I38" s="166"/>
      <c r="J38" s="155"/>
      <c r="K38" s="155"/>
      <c r="L38" s="161">
        <v>0</v>
      </c>
      <c r="M38" s="147"/>
      <c r="N38" s="151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</row>
    <row r="39" spans="1:28" ht="15.75" customHeight="1">
      <c r="A39" s="106"/>
      <c r="B39" s="136" t="s">
        <v>181</v>
      </c>
      <c r="C39" s="166"/>
      <c r="D39" s="175"/>
      <c r="E39" s="166"/>
      <c r="F39" s="166"/>
      <c r="G39" s="166"/>
      <c r="H39" s="166"/>
      <c r="I39" s="166"/>
      <c r="J39" s="155"/>
      <c r="K39" s="155"/>
      <c r="L39" s="161">
        <v>0</v>
      </c>
      <c r="M39" s="147"/>
      <c r="N39" s="151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</row>
    <row r="40" spans="1:28" ht="15.75" customHeight="1">
      <c r="A40" s="106"/>
      <c r="B40" s="136" t="s">
        <v>132</v>
      </c>
      <c r="C40" s="166"/>
      <c r="D40" s="175"/>
      <c r="E40" s="166"/>
      <c r="F40" s="166"/>
      <c r="G40" s="166"/>
      <c r="H40" s="166"/>
      <c r="I40" s="166"/>
      <c r="J40" s="155"/>
      <c r="K40" s="155"/>
      <c r="L40" s="161">
        <v>0</v>
      </c>
      <c r="M40" s="147"/>
      <c r="N40" s="151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</row>
    <row r="41" spans="1:28" ht="15.75" customHeight="1">
      <c r="A41" s="106"/>
      <c r="B41" s="136" t="s">
        <v>20</v>
      </c>
      <c r="C41" s="166"/>
      <c r="D41" s="175"/>
      <c r="E41" s="166"/>
      <c r="F41" s="166"/>
      <c r="G41" s="166"/>
      <c r="H41" s="166"/>
      <c r="I41" s="166"/>
      <c r="J41" s="155"/>
      <c r="K41" s="155"/>
      <c r="L41" s="161">
        <v>217814.17</v>
      </c>
      <c r="M41" s="147"/>
      <c r="N41" s="151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</row>
    <row r="42" spans="1:28" ht="15.75" customHeight="1">
      <c r="A42" s="106"/>
      <c r="B42" s="136" t="s">
        <v>21</v>
      </c>
      <c r="C42" s="166"/>
      <c r="D42" s="175"/>
      <c r="E42" s="166"/>
      <c r="F42" s="166"/>
      <c r="G42" s="166"/>
      <c r="H42" s="166"/>
      <c r="I42" s="166"/>
      <c r="J42" s="155"/>
      <c r="K42" s="155"/>
      <c r="L42" s="161">
        <v>12374.7</v>
      </c>
      <c r="M42" s="147"/>
      <c r="N42" s="151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</row>
    <row r="43" spans="1:28" ht="15.75" customHeight="1">
      <c r="A43" s="106"/>
      <c r="B43" s="136" t="s">
        <v>22</v>
      </c>
      <c r="C43" s="166"/>
      <c r="D43" s="175"/>
      <c r="E43" s="166"/>
      <c r="F43" s="166"/>
      <c r="G43" s="166"/>
      <c r="H43" s="166"/>
      <c r="I43" s="166"/>
      <c r="J43" s="155"/>
      <c r="K43" s="155"/>
      <c r="L43" s="161">
        <v>159.81</v>
      </c>
      <c r="M43" s="147"/>
      <c r="N43" s="151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</row>
    <row r="44" spans="1:28" ht="15.75" customHeight="1">
      <c r="A44" s="106"/>
      <c r="B44" s="153" t="s">
        <v>23</v>
      </c>
      <c r="C44" s="165"/>
      <c r="D44" s="174"/>
      <c r="E44" s="165"/>
      <c r="F44" s="165"/>
      <c r="G44" s="165"/>
      <c r="H44" s="165"/>
      <c r="I44" s="165"/>
      <c r="J44" s="154"/>
      <c r="K44" s="154"/>
      <c r="L44" s="160">
        <f>SUM(L38:L43)</f>
        <v>230348.68000000002</v>
      </c>
      <c r="M44" s="147"/>
      <c r="N44" s="151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</row>
    <row r="45" spans="1:28" ht="15.75" customHeight="1">
      <c r="A45" s="106"/>
      <c r="B45" s="157"/>
      <c r="C45" s="106"/>
      <c r="D45" s="144"/>
      <c r="E45" s="106"/>
      <c r="F45" s="106"/>
      <c r="G45" s="106"/>
      <c r="H45" s="106"/>
      <c r="I45" s="106"/>
      <c r="J45" s="150"/>
      <c r="K45" s="150"/>
      <c r="L45" s="150"/>
      <c r="M45" s="147"/>
      <c r="N45" s="151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</row>
    <row r="46" spans="1:28" ht="15.75" customHeight="1">
      <c r="A46" s="106"/>
      <c r="B46" s="153" t="s">
        <v>24</v>
      </c>
      <c r="C46" s="165"/>
      <c r="D46" s="174"/>
      <c r="E46" s="165"/>
      <c r="F46" s="165"/>
      <c r="G46" s="165"/>
      <c r="H46" s="165"/>
      <c r="I46" s="165"/>
      <c r="J46" s="154"/>
      <c r="K46" s="154"/>
      <c r="L46" s="130" t="s">
        <v>2</v>
      </c>
      <c r="M46" s="147"/>
      <c r="N46" s="151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</row>
    <row r="47" spans="1:28" ht="15.75" customHeight="1">
      <c r="A47" s="106"/>
      <c r="B47" s="136" t="s">
        <v>200</v>
      </c>
      <c r="C47" s="166"/>
      <c r="D47" s="175"/>
      <c r="E47" s="166"/>
      <c r="F47" s="166"/>
      <c r="G47" s="166"/>
      <c r="H47" s="166"/>
      <c r="I47" s="166"/>
      <c r="J47" s="155"/>
      <c r="K47" s="155"/>
      <c r="L47" s="161">
        <v>10006913.43</v>
      </c>
      <c r="M47" s="148"/>
      <c r="N47" s="151"/>
      <c r="P47" s="108"/>
    </row>
    <row r="48" spans="1:28" ht="15.75" customHeight="1">
      <c r="A48" s="106"/>
      <c r="B48" s="136" t="s">
        <v>25</v>
      </c>
      <c r="C48" s="166"/>
      <c r="D48" s="175"/>
      <c r="E48" s="166"/>
      <c r="F48" s="166"/>
      <c r="G48" s="166"/>
      <c r="H48" s="166"/>
      <c r="I48" s="166"/>
      <c r="J48" s="155"/>
      <c r="K48" s="155"/>
      <c r="L48" s="161">
        <v>35278243.729999997</v>
      </c>
      <c r="M48" s="148"/>
      <c r="N48" s="151"/>
      <c r="P48" s="108"/>
    </row>
    <row r="49" spans="2:16" ht="15.75" customHeight="1">
      <c r="B49" s="136" t="s">
        <v>26</v>
      </c>
      <c r="C49" s="166"/>
      <c r="D49" s="175"/>
      <c r="E49" s="166"/>
      <c r="F49" s="166"/>
      <c r="G49" s="166"/>
      <c r="H49" s="166"/>
      <c r="I49" s="166"/>
      <c r="J49" s="155"/>
      <c r="K49" s="155"/>
      <c r="L49" s="161">
        <v>9741612.9000000004</v>
      </c>
      <c r="M49" s="148"/>
      <c r="N49" s="151"/>
      <c r="P49" s="108"/>
    </row>
    <row r="50" spans="2:16" ht="15.75" customHeight="1">
      <c r="B50" s="136" t="s">
        <v>131</v>
      </c>
      <c r="C50" s="166"/>
      <c r="D50" s="175"/>
      <c r="E50" s="166"/>
      <c r="F50" s="166"/>
      <c r="G50" s="166"/>
      <c r="H50" s="166"/>
      <c r="I50" s="166"/>
      <c r="J50" s="155"/>
      <c r="K50" s="155"/>
      <c r="L50" s="161">
        <v>231928.43</v>
      </c>
      <c r="M50" s="148"/>
      <c r="N50" s="151"/>
      <c r="P50" s="108"/>
    </row>
    <row r="51" spans="2:16" ht="15.75" customHeight="1">
      <c r="B51" s="153" t="s">
        <v>28</v>
      </c>
      <c r="C51" s="165"/>
      <c r="D51" s="174"/>
      <c r="E51" s="165"/>
      <c r="F51" s="165"/>
      <c r="G51" s="165"/>
      <c r="H51" s="165"/>
      <c r="I51" s="165"/>
      <c r="J51" s="154"/>
      <c r="K51" s="154"/>
      <c r="L51" s="160">
        <f>SUM(L47:L50)-L44</f>
        <v>55028349.809999995</v>
      </c>
      <c r="M51" s="148"/>
      <c r="N51" s="151"/>
      <c r="P51" s="108"/>
    </row>
    <row r="52" spans="2:16" ht="15.75" customHeight="1">
      <c r="B52" s="158"/>
      <c r="C52" s="131"/>
      <c r="D52" s="176"/>
      <c r="E52" s="131"/>
      <c r="F52" s="131"/>
      <c r="G52" s="131"/>
      <c r="H52" s="131"/>
      <c r="I52" s="131"/>
      <c r="J52" s="132"/>
      <c r="K52" s="132"/>
      <c r="L52" s="155"/>
      <c r="M52" s="148"/>
      <c r="N52" s="151"/>
      <c r="P52" s="108"/>
    </row>
    <row r="53" spans="2:16" ht="15.75" customHeight="1">
      <c r="B53" s="133" t="s">
        <v>29</v>
      </c>
      <c r="C53" s="167"/>
      <c r="D53" s="177"/>
      <c r="E53" s="167"/>
      <c r="F53" s="167"/>
      <c r="G53" s="167"/>
      <c r="H53" s="167"/>
      <c r="I53" s="167"/>
      <c r="J53" s="156"/>
      <c r="K53" s="156"/>
      <c r="L53" s="162">
        <f>L51+L44</f>
        <v>55258698.489999995</v>
      </c>
      <c r="M53" s="148"/>
      <c r="N53" s="151"/>
      <c r="P53" s="108"/>
    </row>
    <row r="54" spans="2:16" ht="15.75" customHeight="1">
      <c r="B54" s="106"/>
      <c r="C54" s="106"/>
      <c r="D54" s="147"/>
      <c r="E54" s="106"/>
      <c r="F54" s="106"/>
      <c r="G54" s="106"/>
      <c r="H54" s="106"/>
      <c r="I54" s="106"/>
      <c r="J54" s="109"/>
      <c r="K54" s="109"/>
      <c r="L54" s="109"/>
    </row>
    <row r="55" spans="2:16" ht="15.75" customHeight="1">
      <c r="B55" s="106"/>
      <c r="C55" s="106"/>
      <c r="D55" s="147"/>
      <c r="E55" s="106"/>
      <c r="F55" s="106"/>
      <c r="G55" s="106"/>
      <c r="H55" s="106"/>
      <c r="I55" s="106"/>
      <c r="J55" s="109"/>
      <c r="K55" s="109"/>
      <c r="L55" s="109"/>
    </row>
    <row r="56" spans="2:16" ht="15.75" customHeight="1">
      <c r="B56" s="106"/>
      <c r="C56" s="106"/>
      <c r="D56" s="147"/>
      <c r="E56" s="106"/>
      <c r="F56" s="106"/>
      <c r="G56" s="106"/>
      <c r="H56" s="106"/>
      <c r="I56" s="106"/>
      <c r="J56" s="109"/>
      <c r="K56" s="109"/>
      <c r="L56" s="109"/>
    </row>
    <row r="57" spans="2:16" ht="15.75" customHeight="1">
      <c r="B57" s="106"/>
      <c r="C57" s="106"/>
      <c r="D57" s="147"/>
      <c r="E57" s="106"/>
      <c r="F57" s="106"/>
      <c r="G57" s="106"/>
      <c r="H57" s="106"/>
      <c r="I57" s="106"/>
      <c r="J57" s="109"/>
      <c r="K57" s="109"/>
      <c r="L57" s="109"/>
    </row>
    <row r="58" spans="2:16" ht="15.75" customHeight="1">
      <c r="B58" s="106"/>
      <c r="C58" s="106"/>
      <c r="D58" s="147"/>
      <c r="E58" s="106"/>
      <c r="F58" s="106"/>
      <c r="G58" s="106"/>
      <c r="H58" s="106"/>
      <c r="I58" s="106"/>
      <c r="J58" s="109"/>
      <c r="K58" s="109"/>
      <c r="L58" s="109"/>
    </row>
    <row r="59" spans="2:16" ht="15.75" customHeight="1">
      <c r="B59" s="106"/>
      <c r="C59" s="106"/>
      <c r="D59" s="144"/>
      <c r="E59" s="106"/>
      <c r="F59" s="106"/>
      <c r="G59" s="106"/>
      <c r="H59" s="106"/>
      <c r="I59" s="106"/>
      <c r="J59" s="106"/>
      <c r="K59" s="106"/>
    </row>
    <row r="60" spans="2:16" ht="15.75" customHeight="1">
      <c r="B60" s="106"/>
      <c r="C60" s="106"/>
      <c r="D60" s="144"/>
      <c r="E60" s="106"/>
      <c r="F60" s="106"/>
      <c r="G60" s="106"/>
      <c r="H60" s="106"/>
      <c r="I60" s="106"/>
      <c r="J60" s="106"/>
      <c r="K60" s="106"/>
    </row>
    <row r="61" spans="2:16" ht="15.75" customHeight="1">
      <c r="B61" s="106"/>
      <c r="C61" s="106"/>
      <c r="D61" s="144"/>
      <c r="E61" s="106"/>
      <c r="F61" s="106"/>
      <c r="G61" s="106"/>
      <c r="H61" s="106"/>
      <c r="I61" s="106"/>
      <c r="J61" s="106"/>
      <c r="K61" s="106"/>
    </row>
  </sheetData>
  <mergeCells count="5">
    <mergeCell ref="B3:L3"/>
    <mergeCell ref="B7:L8"/>
    <mergeCell ref="B23:L24"/>
    <mergeCell ref="B34:L34"/>
    <mergeCell ref="B35:L36"/>
  </mergeCells>
  <pageMargins left="0.25" right="0.25" top="0.75" bottom="0.75" header="0.3" footer="0.3"/>
  <pageSetup paperSize="9" scale="33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C63"/>
  <sheetViews>
    <sheetView showGridLines="0" workbookViewId="0">
      <selection activeCell="D26" sqref="D26:M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4" width="18.7109375" style="108" bestFit="1" customWidth="1"/>
    <col min="5" max="5" width="20.7109375" style="148" customWidth="1"/>
    <col min="6" max="6" width="20.7109375" style="108" customWidth="1"/>
    <col min="7" max="7" width="19.5703125" style="108" bestFit="1" customWidth="1"/>
    <col min="8" max="9" width="18.7109375" style="108" bestFit="1" customWidth="1"/>
    <col min="10" max="10" width="21.42578125" style="108" customWidth="1"/>
    <col min="11" max="13" width="20" style="108" bestFit="1" customWidth="1"/>
    <col min="14" max="14" width="6.85546875" style="108" customWidth="1"/>
    <col min="15" max="15" width="18.42578125" style="148" bestFit="1" customWidth="1"/>
    <col min="16" max="16" width="14.7109375" style="151" bestFit="1" customWidth="1"/>
    <col min="17" max="17" width="13.5703125" style="151" bestFit="1" customWidth="1"/>
    <col min="18" max="29" width="9.5703125" style="108" customWidth="1"/>
    <col min="30" max="1033" width="9.42578125" style="108" customWidth="1"/>
    <col min="1034" max="16384" width="9.140625" style="108"/>
  </cols>
  <sheetData>
    <row r="1" spans="1:29" ht="15.75" customHeight="1">
      <c r="A1" s="106" t="s">
        <v>118</v>
      </c>
      <c r="B1" s="106"/>
      <c r="C1" s="106"/>
      <c r="D1" s="106"/>
      <c r="E1" s="144"/>
      <c r="F1" s="106"/>
      <c r="G1" s="106"/>
      <c r="H1" s="106"/>
      <c r="I1" s="106"/>
      <c r="J1" s="106"/>
      <c r="K1" s="109"/>
      <c r="L1" s="109"/>
      <c r="M1" s="109"/>
      <c r="N1" s="106"/>
      <c r="O1" s="144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15.75" customHeight="1">
      <c r="A2" s="106"/>
      <c r="B2" s="106"/>
      <c r="C2" s="106"/>
      <c r="D2" s="106"/>
      <c r="E2" s="144"/>
      <c r="F2" s="106"/>
      <c r="G2" s="106"/>
      <c r="H2" s="106"/>
      <c r="I2" s="106"/>
      <c r="J2" s="106"/>
      <c r="K2" s="109"/>
      <c r="L2" s="109"/>
      <c r="M2" s="109"/>
      <c r="N2" s="106"/>
      <c r="O2" s="144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</row>
    <row r="3" spans="1:29" ht="15.75" customHeight="1">
      <c r="A3" s="106"/>
      <c r="B3" s="367" t="s">
        <v>173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106"/>
      <c r="O3" s="144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</row>
    <row r="4" spans="1:29" ht="15.75" customHeight="1">
      <c r="A4" s="106"/>
      <c r="B4" s="106"/>
      <c r="C4" s="106"/>
      <c r="D4" s="106"/>
      <c r="E4" s="144"/>
      <c r="F4" s="106"/>
      <c r="G4" s="106"/>
      <c r="H4" s="106"/>
      <c r="I4" s="106"/>
      <c r="J4" s="106"/>
      <c r="K4" s="109"/>
      <c r="L4" s="109"/>
      <c r="M4" s="109"/>
      <c r="N4" s="106"/>
      <c r="O4" s="144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</row>
    <row r="5" spans="1:29" ht="15.75" customHeight="1">
      <c r="A5" s="106"/>
      <c r="B5" s="106"/>
      <c r="C5" s="106"/>
      <c r="D5" s="106"/>
      <c r="E5" s="144"/>
      <c r="F5" s="106"/>
      <c r="G5" s="106"/>
      <c r="H5" s="106"/>
      <c r="I5" s="106"/>
      <c r="J5" s="106"/>
      <c r="K5" s="109"/>
      <c r="L5" s="109"/>
      <c r="M5" s="109"/>
      <c r="N5" s="106"/>
      <c r="O5" s="144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</row>
    <row r="6" spans="1:29" s="141" customFormat="1" ht="24.95" customHeight="1">
      <c r="A6" s="140"/>
      <c r="B6" s="139" t="s">
        <v>0</v>
      </c>
      <c r="C6" s="139" t="s">
        <v>101</v>
      </c>
      <c r="D6" s="139" t="s">
        <v>90</v>
      </c>
      <c r="E6" s="173" t="s">
        <v>85</v>
      </c>
      <c r="F6" s="139" t="s">
        <v>77</v>
      </c>
      <c r="G6" s="139" t="s">
        <v>69</v>
      </c>
      <c r="H6" s="139" t="s">
        <v>61</v>
      </c>
      <c r="I6" s="139" t="s">
        <v>53</v>
      </c>
      <c r="J6" s="139" t="s">
        <v>44</v>
      </c>
      <c r="K6" s="139" t="s">
        <v>151</v>
      </c>
      <c r="L6" s="139" t="s">
        <v>31</v>
      </c>
      <c r="M6" s="139">
        <v>2022</v>
      </c>
      <c r="N6" s="140"/>
      <c r="O6" s="145"/>
      <c r="P6" s="151"/>
      <c r="Q6" s="151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1:29" s="112" customFormat="1" ht="15.75" customHeight="1">
      <c r="A7" s="111"/>
      <c r="B7" s="350" t="s">
        <v>127</v>
      </c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111"/>
      <c r="O7" s="146"/>
      <c r="P7" s="151"/>
      <c r="Q7" s="15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</row>
    <row r="8" spans="1:29" s="142" customFormat="1" ht="15.75" customHeight="1">
      <c r="A8" s="111"/>
      <c r="B8" s="352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111"/>
      <c r="O8" s="146"/>
      <c r="P8" s="151"/>
      <c r="Q8" s="15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</row>
    <row r="9" spans="1:29" s="142" customFormat="1" ht="15.75" customHeight="1">
      <c r="A9" s="111"/>
      <c r="B9" s="118" t="s">
        <v>120</v>
      </c>
      <c r="C9" s="17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1"/>
      <c r="O9" s="146"/>
      <c r="P9" s="151"/>
      <c r="Q9" s="15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</row>
    <row r="10" spans="1:29" ht="17.100000000000001" customHeight="1">
      <c r="A10" s="106"/>
      <c r="B10" s="136" t="s">
        <v>3</v>
      </c>
      <c r="C10" s="168">
        <v>607654.94999999995</v>
      </c>
      <c r="D10" s="168">
        <v>635941.19999999995</v>
      </c>
      <c r="E10" s="168">
        <v>597854.14</v>
      </c>
      <c r="F10" s="168">
        <v>595267.09</v>
      </c>
      <c r="G10" s="168">
        <v>727581.54</v>
      </c>
      <c r="H10" s="168">
        <v>524966.87</v>
      </c>
      <c r="I10" s="168">
        <v>535990.88</v>
      </c>
      <c r="J10" s="168">
        <v>636880.65</v>
      </c>
      <c r="K10" s="138">
        <v>358179.72</v>
      </c>
      <c r="L10" s="138">
        <f>467985.07+2546.27</f>
        <v>470531.34</v>
      </c>
      <c r="M10" s="138">
        <f t="shared" ref="M10:M20" si="0">SUM(C10:L10)</f>
        <v>5690848.3799999999</v>
      </c>
      <c r="N10" s="106"/>
      <c r="O10" s="147"/>
      <c r="P10" s="152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</row>
    <row r="11" spans="1:29" ht="17.100000000000001" customHeight="1">
      <c r="A11" s="106"/>
      <c r="B11" s="136" t="s">
        <v>4</v>
      </c>
      <c r="C11" s="182">
        <v>386739.3</v>
      </c>
      <c r="D11" s="168">
        <v>404739.76</v>
      </c>
      <c r="E11" s="169">
        <v>380502.6</v>
      </c>
      <c r="F11" s="169">
        <v>378856.21</v>
      </c>
      <c r="G11" s="169">
        <v>463056.11</v>
      </c>
      <c r="H11" s="169">
        <v>487801.26</v>
      </c>
      <c r="I11" s="169">
        <v>189358.6</v>
      </c>
      <c r="J11" s="169">
        <v>405387.8</v>
      </c>
      <c r="K11" s="135">
        <v>227932.55</v>
      </c>
      <c r="L11" s="135">
        <v>452327.34</v>
      </c>
      <c r="M11" s="138">
        <f t="shared" si="0"/>
        <v>3776701.53</v>
      </c>
      <c r="N11" s="106"/>
      <c r="O11" s="147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</row>
    <row r="12" spans="1:29" ht="17.100000000000001" customHeight="1">
      <c r="A12" s="106"/>
      <c r="B12" s="114" t="s">
        <v>214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126693.92</v>
      </c>
      <c r="I12" s="171">
        <v>126693.92</v>
      </c>
      <c r="J12" s="170">
        <v>126693.92</v>
      </c>
      <c r="K12" s="115">
        <v>126693.92</v>
      </c>
      <c r="L12" s="115">
        <v>126693.92</v>
      </c>
      <c r="M12" s="138">
        <f t="shared" si="0"/>
        <v>1949988.3499999996</v>
      </c>
      <c r="N12" s="106"/>
      <c r="O12" s="147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</row>
    <row r="13" spans="1:29" ht="17.100000000000001" customHeight="1">
      <c r="A13" s="106"/>
      <c r="B13" s="114" t="s">
        <v>6</v>
      </c>
      <c r="C13" s="171">
        <v>681937.77</v>
      </c>
      <c r="D13" s="171">
        <v>404682.47</v>
      </c>
      <c r="E13" s="171">
        <v>676344.82</v>
      </c>
      <c r="F13" s="171">
        <v>421416.32</v>
      </c>
      <c r="G13" s="171">
        <v>-84090.74</v>
      </c>
      <c r="H13" s="171">
        <v>505838.52</v>
      </c>
      <c r="I13" s="171">
        <v>16001.38</v>
      </c>
      <c r="J13" s="171">
        <v>809918.94</v>
      </c>
      <c r="K13" s="115">
        <v>98226.79</v>
      </c>
      <c r="L13" s="115">
        <v>38967.99</v>
      </c>
      <c r="M13" s="138">
        <f t="shared" si="0"/>
        <v>3569244.26</v>
      </c>
      <c r="O13" s="147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</row>
    <row r="14" spans="1:29" ht="17.100000000000001" customHeight="1">
      <c r="A14" s="106"/>
      <c r="B14" s="114" t="s">
        <v>215</v>
      </c>
      <c r="C14" s="171">
        <v>57441.41</v>
      </c>
      <c r="D14" s="171">
        <f>57964.94+57617.15</f>
        <v>115582.09</v>
      </c>
      <c r="E14" s="171">
        <v>0</v>
      </c>
      <c r="F14" s="171">
        <v>57607.77</v>
      </c>
      <c r="G14" s="171">
        <v>57349.7</v>
      </c>
      <c r="H14" s="171">
        <v>56759.4</v>
      </c>
      <c r="I14" s="171">
        <v>55805.13</v>
      </c>
      <c r="J14" s="171">
        <v>55252.6</v>
      </c>
      <c r="K14" s="115">
        <v>54884.88</v>
      </c>
      <c r="L14" s="115">
        <v>54487.12</v>
      </c>
      <c r="M14" s="138">
        <f t="shared" si="0"/>
        <v>565170.1</v>
      </c>
      <c r="N14" s="106"/>
      <c r="O14" s="147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</row>
    <row r="15" spans="1:29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15">
        <v>23811.51</v>
      </c>
      <c r="M15" s="138">
        <f t="shared" si="0"/>
        <v>23811.51</v>
      </c>
      <c r="N15" s="106"/>
      <c r="O15" s="147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</row>
    <row r="16" spans="1:29" ht="17.100000000000001" customHeight="1">
      <c r="A16" s="106"/>
      <c r="B16" s="114" t="s">
        <v>216</v>
      </c>
      <c r="C16" s="179">
        <v>12961.2</v>
      </c>
      <c r="D16" s="171">
        <v>12936.32</v>
      </c>
      <c r="E16" s="171">
        <v>12949.78</v>
      </c>
      <c r="F16" s="171">
        <v>12742.8</v>
      </c>
      <c r="G16" s="171">
        <v>12621.89</v>
      </c>
      <c r="H16" s="171">
        <v>12430.62</v>
      </c>
      <c r="I16" s="171">
        <v>12368.92</v>
      </c>
      <c r="J16" s="171">
        <v>11980.7</v>
      </c>
      <c r="K16" s="115">
        <v>11840.9</v>
      </c>
      <c r="L16" s="115">
        <v>11697.01</v>
      </c>
      <c r="M16" s="138">
        <f t="shared" si="0"/>
        <v>124530.13999999998</v>
      </c>
      <c r="N16" s="106"/>
      <c r="O16" s="147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17.100000000000001" customHeight="1">
      <c r="A17" s="106"/>
      <c r="B17" s="114" t="s">
        <v>217</v>
      </c>
      <c r="C17" s="179">
        <v>5403.56</v>
      </c>
      <c r="D17" s="171">
        <v>5393.18</v>
      </c>
      <c r="E17" s="171">
        <v>5398.8</v>
      </c>
      <c r="F17" s="171">
        <v>5312.52</v>
      </c>
      <c r="G17" s="171">
        <v>5262.12</v>
      </c>
      <c r="H17" s="171">
        <v>5182.37</v>
      </c>
      <c r="I17" s="171">
        <v>5156.6499999999996</v>
      </c>
      <c r="J17" s="171">
        <v>4994.8</v>
      </c>
      <c r="K17" s="115">
        <v>4936.5200000000004</v>
      </c>
      <c r="L17" s="115">
        <v>4876.53</v>
      </c>
      <c r="M17" s="138">
        <f t="shared" si="0"/>
        <v>51917.05</v>
      </c>
      <c r="N17" s="106"/>
      <c r="O17" s="147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1:29" ht="17.100000000000001" customHeight="1">
      <c r="A18" s="106"/>
      <c r="B18" s="114" t="s">
        <v>218</v>
      </c>
      <c r="C18" s="179">
        <v>18512.490000000002</v>
      </c>
      <c r="D18" s="171">
        <v>18476.41</v>
      </c>
      <c r="E18" s="171">
        <v>18497.71</v>
      </c>
      <c r="F18" s="171">
        <v>18201.28</v>
      </c>
      <c r="G18" s="171">
        <v>18028.2</v>
      </c>
      <c r="H18" s="171">
        <v>17753.55</v>
      </c>
      <c r="I18" s="171">
        <v>17665.8</v>
      </c>
      <c r="J18" s="171">
        <v>17111.64</v>
      </c>
      <c r="K18" s="115">
        <v>17026.22</v>
      </c>
      <c r="L18" s="115">
        <v>16706.07</v>
      </c>
      <c r="M18" s="138">
        <f t="shared" si="0"/>
        <v>177979.37000000002</v>
      </c>
      <c r="N18" s="106"/>
      <c r="O18" s="147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  <row r="19" spans="1:29" ht="17.100000000000001" customHeight="1">
      <c r="A19" s="106"/>
      <c r="B19" s="114" t="s">
        <v>178</v>
      </c>
      <c r="C19" s="171">
        <v>7701.38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82684.009999999995</v>
      </c>
      <c r="J19" s="171">
        <v>11242.71</v>
      </c>
      <c r="K19" s="115">
        <v>0</v>
      </c>
      <c r="L19" s="115">
        <v>0</v>
      </c>
      <c r="M19" s="138">
        <f t="shared" si="0"/>
        <v>157841.65</v>
      </c>
      <c r="N19" s="106"/>
      <c r="O19" s="147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</row>
    <row r="20" spans="1:29" ht="17.100000000000001" customHeight="1">
      <c r="A20" s="106"/>
      <c r="B20" s="114" t="s">
        <v>192</v>
      </c>
      <c r="C20" s="171">
        <v>0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(1168.12*2)+(1943.36*2)</f>
        <v>6222.9599999999991</v>
      </c>
      <c r="I20" s="171">
        <v>0</v>
      </c>
      <c r="J20" s="171">
        <v>15557.47</v>
      </c>
      <c r="K20" s="115">
        <v>1168.1199999999999</v>
      </c>
      <c r="L20" s="115">
        <v>3231.48</v>
      </c>
      <c r="M20" s="138">
        <f t="shared" si="0"/>
        <v>38625.950000000004</v>
      </c>
      <c r="N20" s="106"/>
      <c r="O20" s="147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</row>
    <row r="21" spans="1:29" s="112" customFormat="1" ht="15.75" customHeight="1">
      <c r="A21" s="111"/>
      <c r="B21" s="116" t="s">
        <v>9</v>
      </c>
      <c r="C21" s="117">
        <f t="shared" ref="C21" si="1">SUM(C10:C20)</f>
        <v>2041655.8099999998</v>
      </c>
      <c r="D21" s="117">
        <f t="shared" ref="D21:L21" si="2">SUM(D10:D20)</f>
        <v>1875409.3699999999</v>
      </c>
      <c r="E21" s="117">
        <f t="shared" si="2"/>
        <v>1969205.79</v>
      </c>
      <c r="F21" s="117">
        <f t="shared" si="2"/>
        <v>1767061.9300000002</v>
      </c>
      <c r="G21" s="117">
        <f t="shared" si="2"/>
        <v>1477466.7599999998</v>
      </c>
      <c r="H21" s="117">
        <f t="shared" si="2"/>
        <v>1754892.1800000002</v>
      </c>
      <c r="I21" s="117">
        <f t="shared" si="2"/>
        <v>1041725.2900000002</v>
      </c>
      <c r="J21" s="117">
        <f t="shared" si="2"/>
        <v>2095021.2299999997</v>
      </c>
      <c r="K21" s="117">
        <f t="shared" si="2"/>
        <v>900889.62000000011</v>
      </c>
      <c r="L21" s="117">
        <f t="shared" si="2"/>
        <v>1203330.3100000003</v>
      </c>
      <c r="M21" s="117">
        <f>SUM(M10:M20)</f>
        <v>16126658.289999999</v>
      </c>
      <c r="N21" s="111"/>
      <c r="O21" s="146"/>
      <c r="P21" s="151"/>
      <c r="Q21" s="15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</row>
    <row r="22" spans="1:29" ht="15.75" customHeight="1">
      <c r="A22" s="106"/>
      <c r="B22" s="106"/>
      <c r="C22" s="143"/>
      <c r="D22" s="106"/>
      <c r="E22" s="181"/>
      <c r="F22" s="106"/>
      <c r="G22" s="106"/>
      <c r="H22" s="106"/>
      <c r="I22" s="106"/>
      <c r="J22" s="106"/>
      <c r="K22" s="109"/>
      <c r="L22" s="109"/>
      <c r="M22" s="109"/>
      <c r="N22" s="106"/>
      <c r="O22" s="147" t="s">
        <v>118</v>
      </c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</row>
    <row r="23" spans="1:29" s="112" customFormat="1" ht="15.75" customHeight="1">
      <c r="A23" s="111"/>
      <c r="B23" s="350" t="s">
        <v>128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111"/>
      <c r="O23" s="146"/>
      <c r="P23" s="151"/>
      <c r="Q23" s="15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</row>
    <row r="24" spans="1:29" ht="15.75" customHeight="1">
      <c r="A24" s="106"/>
      <c r="B24" s="352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106"/>
      <c r="O24" s="147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</row>
    <row r="25" spans="1:29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06"/>
      <c r="O25" s="147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</row>
    <row r="26" spans="1:29" ht="17.100000000000001" customHeight="1">
      <c r="A26" s="106"/>
      <c r="B26" s="114" t="s">
        <v>207</v>
      </c>
      <c r="C26" s="171">
        <v>628298.59</v>
      </c>
      <c r="D26" s="171">
        <v>621961.06000000006</v>
      </c>
      <c r="E26" s="179">
        <v>615746.06999999995</v>
      </c>
      <c r="F26" s="171">
        <v>617621.43000000005</v>
      </c>
      <c r="G26" s="179">
        <v>925293.45</v>
      </c>
      <c r="H26" s="179">
        <v>755023.19</v>
      </c>
      <c r="I26" s="179">
        <v>548127.35</v>
      </c>
      <c r="J26" s="179">
        <v>542075.24</v>
      </c>
      <c r="K26" s="189">
        <v>495470.49</v>
      </c>
      <c r="L26" s="115">
        <v>487626.13</v>
      </c>
      <c r="M26" s="115">
        <f>SUM(A26:L26)</f>
        <v>6237243</v>
      </c>
      <c r="N26" s="106"/>
      <c r="O26" s="147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</row>
    <row r="27" spans="1:29" ht="17.100000000000001" customHeight="1">
      <c r="A27" s="106"/>
      <c r="B27" s="114" t="s">
        <v>150</v>
      </c>
      <c r="C27" s="171">
        <v>66848.59</v>
      </c>
      <c r="D27" s="171">
        <v>66848.59</v>
      </c>
      <c r="E27" s="179">
        <v>69264.009999999995</v>
      </c>
      <c r="F27" s="171">
        <v>64433.17</v>
      </c>
      <c r="G27" s="179">
        <v>97154.79</v>
      </c>
      <c r="H27" s="179">
        <v>67044.08</v>
      </c>
      <c r="I27" s="179">
        <v>64945.72</v>
      </c>
      <c r="J27" s="179">
        <v>64945.72</v>
      </c>
      <c r="K27" s="189">
        <v>63584.02</v>
      </c>
      <c r="L27" s="115">
        <v>65481.06</v>
      </c>
      <c r="M27" s="115">
        <f>SUM(A27:L27)</f>
        <v>690549.75</v>
      </c>
      <c r="N27" s="106"/>
      <c r="O27" s="147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</row>
    <row r="28" spans="1:29" ht="17.100000000000001" customHeight="1">
      <c r="A28" s="106"/>
      <c r="B28" s="114" t="s">
        <v>171</v>
      </c>
      <c r="C28" s="172">
        <v>37053.96</v>
      </c>
      <c r="D28" s="191">
        <v>37429.24</v>
      </c>
      <c r="E28" s="191">
        <v>36658.53</v>
      </c>
      <c r="F28" s="191">
        <v>38537.58</v>
      </c>
      <c r="G28" s="191">
        <v>46269.5</v>
      </c>
      <c r="H28" s="191">
        <v>40256.519999999997</v>
      </c>
      <c r="I28" s="191">
        <v>27034.39</v>
      </c>
      <c r="J28" s="191">
        <v>24052.01</v>
      </c>
      <c r="K28" s="190">
        <v>21886.080000000002</v>
      </c>
      <c r="L28" s="119">
        <v>17676.18</v>
      </c>
      <c r="M28" s="115">
        <f>SUM(A28:L28)</f>
        <v>326853.99</v>
      </c>
      <c r="N28" s="106"/>
      <c r="O28" s="147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</row>
    <row r="29" spans="1:29" ht="17.100000000000001" customHeight="1">
      <c r="A29" s="106"/>
      <c r="B29" s="114" t="s">
        <v>193</v>
      </c>
      <c r="C29" s="171">
        <v>4818.75</v>
      </c>
      <c r="D29" s="171">
        <f>1531.08</f>
        <v>1531.08</v>
      </c>
      <c r="E29" s="179">
        <f>1531.08</f>
        <v>1531.08</v>
      </c>
      <c r="F29" s="179">
        <v>1277.42</v>
      </c>
      <c r="G29" s="179">
        <f>1531.08</f>
        <v>1531.08</v>
      </c>
      <c r="H29" s="179">
        <v>16262.03</v>
      </c>
      <c r="I29" s="179">
        <v>0</v>
      </c>
      <c r="J29" s="179">
        <v>0</v>
      </c>
      <c r="K29" s="189">
        <v>0</v>
      </c>
      <c r="L29" s="115">
        <v>0</v>
      </c>
      <c r="M29" s="115">
        <f>SUM(A29:L29)</f>
        <v>26951.440000000002</v>
      </c>
      <c r="N29" s="106"/>
      <c r="O29" s="147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</row>
    <row r="30" spans="1:29" ht="17.100000000000001" customHeight="1">
      <c r="A30" s="106"/>
      <c r="B30" s="114" t="s">
        <v>130</v>
      </c>
      <c r="C30" s="172">
        <f>779493.31-C26-C27-C28-C29</f>
        <v>42473.420000000093</v>
      </c>
      <c r="D30" s="172">
        <v>45044</v>
      </c>
      <c r="E30" s="191">
        <v>76149.100000000006</v>
      </c>
      <c r="F30" s="172">
        <v>46552.78</v>
      </c>
      <c r="G30" s="191">
        <v>89171.65</v>
      </c>
      <c r="H30" s="191">
        <v>37362.04</v>
      </c>
      <c r="I30" s="191">
        <v>55560.09</v>
      </c>
      <c r="J30" s="191">
        <v>22252.83</v>
      </c>
      <c r="K30" s="190">
        <v>14595.13</v>
      </c>
      <c r="L30" s="119">
        <v>7086.12</v>
      </c>
      <c r="M30" s="115">
        <f>SUM(A30:L30)</f>
        <v>436247.16000000009</v>
      </c>
      <c r="N30" s="106"/>
      <c r="O30" s="147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</row>
    <row r="31" spans="1:29" s="112" customFormat="1" ht="17.100000000000001" customHeight="1">
      <c r="A31" s="111"/>
      <c r="B31" s="120" t="s">
        <v>84</v>
      </c>
      <c r="C31" s="121">
        <f t="shared" ref="C31" si="3">SUM(C26:C30)</f>
        <v>779493.30999999994</v>
      </c>
      <c r="D31" s="121">
        <f t="shared" ref="D31:L31" si="4">SUM(D26:D30)</f>
        <v>772813.97</v>
      </c>
      <c r="E31" s="121">
        <f t="shared" si="4"/>
        <v>799348.78999999992</v>
      </c>
      <c r="F31" s="121">
        <f t="shared" si="4"/>
        <v>768422.38000000012</v>
      </c>
      <c r="G31" s="121">
        <f t="shared" si="4"/>
        <v>1159420.47</v>
      </c>
      <c r="H31" s="121">
        <f t="shared" si="4"/>
        <v>915947.86</v>
      </c>
      <c r="I31" s="121">
        <f t="shared" si="4"/>
        <v>695667.54999999993</v>
      </c>
      <c r="J31" s="121">
        <f t="shared" si="4"/>
        <v>653325.79999999993</v>
      </c>
      <c r="K31" s="121">
        <f t="shared" si="4"/>
        <v>595535.72</v>
      </c>
      <c r="L31" s="121">
        <f t="shared" si="4"/>
        <v>577869.49</v>
      </c>
      <c r="M31" s="121">
        <f>SUM(M26:M30)</f>
        <v>7717845.3400000008</v>
      </c>
      <c r="N31" s="111"/>
      <c r="O31" s="146"/>
      <c r="P31" s="151"/>
      <c r="Q31" s="15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</row>
    <row r="32" spans="1:29" s="112" customFormat="1" ht="17.100000000000001" customHeight="1">
      <c r="A32" s="111"/>
      <c r="B32" s="163" t="s">
        <v>14</v>
      </c>
      <c r="C32" s="164">
        <f t="shared" ref="C32:H32" si="5">C21-C31</f>
        <v>1262162.5</v>
      </c>
      <c r="D32" s="164">
        <f t="shared" si="5"/>
        <v>1102595.3999999999</v>
      </c>
      <c r="E32" s="164">
        <f t="shared" si="5"/>
        <v>1169857</v>
      </c>
      <c r="F32" s="164">
        <f t="shared" si="5"/>
        <v>998639.55</v>
      </c>
      <c r="G32" s="164">
        <f t="shared" si="5"/>
        <v>318046.2899999998</v>
      </c>
      <c r="H32" s="164">
        <f t="shared" si="5"/>
        <v>838944.32000000018</v>
      </c>
      <c r="I32" s="164">
        <f t="shared" ref="I32:L32" si="6">I21-I31</f>
        <v>346057.74000000022</v>
      </c>
      <c r="J32" s="164">
        <f t="shared" si="6"/>
        <v>1441695.4299999997</v>
      </c>
      <c r="K32" s="164">
        <f t="shared" si="6"/>
        <v>305353.90000000014</v>
      </c>
      <c r="L32" s="164">
        <f t="shared" si="6"/>
        <v>625460.8200000003</v>
      </c>
      <c r="M32" s="159">
        <f>M21-M31</f>
        <v>8408812.9499999993</v>
      </c>
      <c r="N32" s="111"/>
      <c r="O32" s="146"/>
      <c r="P32" s="151"/>
      <c r="Q32" s="15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</row>
    <row r="33" spans="1:29" ht="15.75" customHeight="1">
      <c r="A33" s="106"/>
      <c r="B33" s="106"/>
      <c r="C33" s="180"/>
      <c r="D33" s="106"/>
      <c r="E33" s="147"/>
      <c r="F33" s="106"/>
      <c r="G33" s="106"/>
      <c r="H33" s="106"/>
      <c r="I33" s="106"/>
      <c r="J33" s="106"/>
      <c r="K33" s="109"/>
      <c r="L33" s="109"/>
      <c r="M33" s="109"/>
      <c r="N33" s="106"/>
      <c r="O33" s="147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</row>
    <row r="34" spans="1:29" s="112" customFormat="1" ht="15.75" customHeight="1">
      <c r="A34" s="111"/>
      <c r="B34" s="362" t="s">
        <v>15</v>
      </c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4"/>
      <c r="N34" s="111"/>
      <c r="O34" s="146"/>
      <c r="P34" s="151"/>
      <c r="Q34" s="15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</row>
    <row r="35" spans="1:29" s="112" customFormat="1" ht="15.75" customHeight="1">
      <c r="A35" s="111"/>
      <c r="B35" s="350" t="s">
        <v>16</v>
      </c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65"/>
      <c r="N35" s="111"/>
      <c r="O35" s="146"/>
      <c r="P35" s="151"/>
      <c r="Q35" s="15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</row>
    <row r="36" spans="1:29" ht="15.75" customHeight="1">
      <c r="A36" s="106"/>
      <c r="B36" s="352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66"/>
      <c r="N36" s="106"/>
      <c r="O36" s="147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29" ht="15.75" customHeight="1">
      <c r="A37" s="106"/>
      <c r="B37" s="153" t="s">
        <v>17</v>
      </c>
      <c r="C37" s="165"/>
      <c r="D37" s="165"/>
      <c r="E37" s="174"/>
      <c r="F37" s="165"/>
      <c r="G37" s="165"/>
      <c r="H37" s="165"/>
      <c r="I37" s="165"/>
      <c r="J37" s="165"/>
      <c r="K37" s="154"/>
      <c r="L37" s="154"/>
      <c r="M37" s="130" t="s">
        <v>2</v>
      </c>
      <c r="N37" s="147"/>
      <c r="O37" s="151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</row>
    <row r="38" spans="1:29" ht="15.75" customHeight="1">
      <c r="A38" s="106"/>
      <c r="B38" s="136" t="s">
        <v>180</v>
      </c>
      <c r="C38" s="166"/>
      <c r="D38" s="166"/>
      <c r="E38" s="175"/>
      <c r="F38" s="166"/>
      <c r="G38" s="166"/>
      <c r="H38" s="166"/>
      <c r="I38" s="166"/>
      <c r="J38" s="166"/>
      <c r="K38" s="155"/>
      <c r="L38" s="155"/>
      <c r="M38" s="161">
        <v>7955.04</v>
      </c>
      <c r="N38" s="147"/>
      <c r="O38" s="151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  <row r="39" spans="1:29" ht="15.75" customHeight="1">
      <c r="A39" s="106"/>
      <c r="B39" s="136" t="s">
        <v>181</v>
      </c>
      <c r="C39" s="166"/>
      <c r="D39" s="166"/>
      <c r="E39" s="175"/>
      <c r="F39" s="166"/>
      <c r="G39" s="166"/>
      <c r="H39" s="166"/>
      <c r="I39" s="166"/>
      <c r="J39" s="166"/>
      <c r="K39" s="155"/>
      <c r="L39" s="155"/>
      <c r="M39" s="161">
        <v>0</v>
      </c>
      <c r="N39" s="147"/>
      <c r="O39" s="151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</row>
    <row r="40" spans="1:29" ht="15.75" customHeight="1">
      <c r="A40" s="106"/>
      <c r="B40" s="136" t="s">
        <v>132</v>
      </c>
      <c r="C40" s="166"/>
      <c r="D40" s="166"/>
      <c r="E40" s="175"/>
      <c r="F40" s="166"/>
      <c r="G40" s="166"/>
      <c r="H40" s="166"/>
      <c r="I40" s="166"/>
      <c r="J40" s="166"/>
      <c r="K40" s="155"/>
      <c r="L40" s="155"/>
      <c r="M40" s="161">
        <v>0</v>
      </c>
      <c r="N40" s="147"/>
      <c r="O40" s="151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</row>
    <row r="41" spans="1:29" ht="15.75" customHeight="1">
      <c r="A41" s="106"/>
      <c r="B41" s="136" t="s">
        <v>208</v>
      </c>
      <c r="C41" s="166"/>
      <c r="D41" s="166"/>
      <c r="E41" s="175"/>
      <c r="F41" s="166"/>
      <c r="G41" s="166"/>
      <c r="H41" s="166"/>
      <c r="I41" s="166"/>
      <c r="J41" s="166"/>
      <c r="K41" s="155"/>
      <c r="L41" s="155"/>
      <c r="M41" s="161">
        <v>0</v>
      </c>
      <c r="N41" s="147"/>
      <c r="O41" s="151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</row>
    <row r="42" spans="1:29" ht="15.75" customHeight="1">
      <c r="A42" s="106"/>
      <c r="B42" s="136" t="s">
        <v>20</v>
      </c>
      <c r="C42" s="166"/>
      <c r="D42" s="166"/>
      <c r="E42" s="175"/>
      <c r="F42" s="166"/>
      <c r="G42" s="166"/>
      <c r="H42" s="166"/>
      <c r="I42" s="166"/>
      <c r="J42" s="166"/>
      <c r="K42" s="155"/>
      <c r="L42" s="155"/>
      <c r="M42" s="161">
        <v>503049.7</v>
      </c>
      <c r="N42" s="147"/>
      <c r="O42" s="151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29" ht="15.75" customHeight="1">
      <c r="A43" s="106"/>
      <c r="B43" s="136" t="s">
        <v>21</v>
      </c>
      <c r="C43" s="166"/>
      <c r="D43" s="166"/>
      <c r="E43" s="175"/>
      <c r="F43" s="166"/>
      <c r="G43" s="166"/>
      <c r="H43" s="166"/>
      <c r="I43" s="166"/>
      <c r="J43" s="166"/>
      <c r="K43" s="155"/>
      <c r="L43" s="155"/>
      <c r="M43" s="161">
        <v>12484.75</v>
      </c>
      <c r="N43" s="147"/>
      <c r="O43" s="151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29" ht="15.75" customHeight="1">
      <c r="A44" s="106"/>
      <c r="B44" s="136" t="s">
        <v>22</v>
      </c>
      <c r="C44" s="166"/>
      <c r="D44" s="166"/>
      <c r="E44" s="175"/>
      <c r="F44" s="166"/>
      <c r="G44" s="166"/>
      <c r="H44" s="166"/>
      <c r="I44" s="166"/>
      <c r="J44" s="166"/>
      <c r="K44" s="155"/>
      <c r="L44" s="155"/>
      <c r="M44" s="161">
        <v>263408.56</v>
      </c>
      <c r="N44" s="147"/>
      <c r="O44" s="151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</row>
    <row r="45" spans="1:29" ht="15.75" customHeight="1">
      <c r="A45" s="106"/>
      <c r="B45" s="153" t="s">
        <v>23</v>
      </c>
      <c r="C45" s="165"/>
      <c r="D45" s="165"/>
      <c r="E45" s="174"/>
      <c r="F45" s="165"/>
      <c r="G45" s="165"/>
      <c r="H45" s="165"/>
      <c r="I45" s="165"/>
      <c r="J45" s="165"/>
      <c r="K45" s="154"/>
      <c r="L45" s="154"/>
      <c r="M45" s="160">
        <f>SUM(M38:M44)</f>
        <v>786898.05</v>
      </c>
      <c r="N45" s="147"/>
      <c r="O45" s="151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</row>
    <row r="46" spans="1:29" ht="15.75" customHeight="1">
      <c r="A46" s="106"/>
      <c r="B46" s="157"/>
      <c r="C46" s="106"/>
      <c r="D46" s="106"/>
      <c r="E46" s="144"/>
      <c r="F46" s="106"/>
      <c r="G46" s="106"/>
      <c r="H46" s="106"/>
      <c r="I46" s="106"/>
      <c r="J46" s="106"/>
      <c r="K46" s="150"/>
      <c r="L46" s="150"/>
      <c r="M46" s="150"/>
      <c r="N46" s="147"/>
      <c r="O46" s="151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</row>
    <row r="47" spans="1:29" ht="15.75" customHeight="1">
      <c r="A47" s="106"/>
      <c r="B47" s="153" t="s">
        <v>24</v>
      </c>
      <c r="C47" s="165"/>
      <c r="D47" s="165"/>
      <c r="E47" s="174"/>
      <c r="F47" s="165"/>
      <c r="G47" s="165"/>
      <c r="H47" s="165"/>
      <c r="I47" s="165"/>
      <c r="J47" s="165"/>
      <c r="K47" s="154"/>
      <c r="L47" s="154"/>
      <c r="M47" s="130" t="s">
        <v>2</v>
      </c>
      <c r="N47" s="147"/>
      <c r="O47" s="151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</row>
    <row r="48" spans="1:29" ht="15.75" customHeight="1">
      <c r="A48" s="106"/>
      <c r="B48" s="136" t="s">
        <v>200</v>
      </c>
      <c r="C48" s="166"/>
      <c r="D48" s="166"/>
      <c r="E48" s="175"/>
      <c r="F48" s="166"/>
      <c r="G48" s="166"/>
      <c r="H48" s="166"/>
      <c r="I48" s="166"/>
      <c r="J48" s="166"/>
      <c r="K48" s="155"/>
      <c r="L48" s="155"/>
      <c r="M48" s="161">
        <v>10061253.859999999</v>
      </c>
      <c r="N48" s="148"/>
      <c r="O48" s="151"/>
      <c r="Q48" s="108"/>
    </row>
    <row r="49" spans="1:17" ht="15.75" customHeight="1">
      <c r="A49" s="106"/>
      <c r="B49" s="136" t="s">
        <v>206</v>
      </c>
      <c r="C49" s="166"/>
      <c r="D49" s="166"/>
      <c r="E49" s="175"/>
      <c r="F49" s="166"/>
      <c r="G49" s="166"/>
      <c r="H49" s="166"/>
      <c r="I49" s="166"/>
      <c r="J49" s="166"/>
      <c r="K49" s="155"/>
      <c r="L49" s="155"/>
      <c r="M49" s="161">
        <v>10016215.810000001</v>
      </c>
      <c r="N49" s="148"/>
      <c r="O49" s="152"/>
      <c r="Q49" s="108"/>
    </row>
    <row r="50" spans="1:17" ht="15.75" customHeight="1">
      <c r="A50" s="106"/>
      <c r="B50" s="136" t="s">
        <v>25</v>
      </c>
      <c r="C50" s="166"/>
      <c r="D50" s="166"/>
      <c r="E50" s="175"/>
      <c r="F50" s="166"/>
      <c r="G50" s="166"/>
      <c r="H50" s="166"/>
      <c r="I50" s="166"/>
      <c r="J50" s="166"/>
      <c r="K50" s="155"/>
      <c r="L50" s="155"/>
      <c r="M50" s="161">
        <v>25985570.02</v>
      </c>
      <c r="N50" s="148"/>
      <c r="O50" s="151"/>
      <c r="Q50" s="108"/>
    </row>
    <row r="51" spans="1:17" ht="15.75" customHeight="1">
      <c r="B51" s="136" t="s">
        <v>26</v>
      </c>
      <c r="C51" s="166"/>
      <c r="D51" s="166"/>
      <c r="E51" s="175"/>
      <c r="F51" s="166"/>
      <c r="G51" s="166"/>
      <c r="H51" s="166"/>
      <c r="I51" s="166"/>
      <c r="J51" s="166"/>
      <c r="K51" s="155"/>
      <c r="L51" s="155"/>
      <c r="M51" s="161">
        <f>6030135.14+889203.12+1533938.67+64187.46+881788.6</f>
        <v>9399252.9900000002</v>
      </c>
      <c r="N51" s="148"/>
      <c r="O51" s="152"/>
      <c r="Q51" s="108"/>
    </row>
    <row r="52" spans="1:17" ht="15.75" customHeight="1">
      <c r="B52" s="136" t="s">
        <v>131</v>
      </c>
      <c r="C52" s="166"/>
      <c r="D52" s="166"/>
      <c r="E52" s="175"/>
      <c r="F52" s="166"/>
      <c r="G52" s="166"/>
      <c r="H52" s="166"/>
      <c r="I52" s="166"/>
      <c r="J52" s="166"/>
      <c r="K52" s="155"/>
      <c r="L52" s="155"/>
      <c r="M52" s="161">
        <v>247079.37</v>
      </c>
      <c r="N52" s="148"/>
      <c r="O52" s="152"/>
      <c r="Q52" s="108"/>
    </row>
    <row r="53" spans="1:17" ht="15.75" customHeight="1">
      <c r="B53" s="153" t="s">
        <v>28</v>
      </c>
      <c r="C53" s="165"/>
      <c r="D53" s="165"/>
      <c r="E53" s="174"/>
      <c r="F53" s="165"/>
      <c r="G53" s="165"/>
      <c r="H53" s="165"/>
      <c r="I53" s="165"/>
      <c r="J53" s="165"/>
      <c r="K53" s="154"/>
      <c r="L53" s="154"/>
      <c r="M53" s="160">
        <f>SUM(M48:M52)</f>
        <v>55709372.049999997</v>
      </c>
      <c r="N53" s="148"/>
      <c r="O53" s="151"/>
      <c r="Q53" s="108"/>
    </row>
    <row r="54" spans="1:17" ht="15.75" customHeight="1">
      <c r="B54" s="158"/>
      <c r="C54" s="131"/>
      <c r="D54" s="131"/>
      <c r="E54" s="176"/>
      <c r="F54" s="131"/>
      <c r="G54" s="131"/>
      <c r="H54" s="131"/>
      <c r="I54" s="131"/>
      <c r="J54" s="131"/>
      <c r="K54" s="132"/>
      <c r="L54" s="132"/>
      <c r="M54" s="155"/>
      <c r="N54" s="148"/>
      <c r="O54" s="151"/>
      <c r="Q54" s="108"/>
    </row>
    <row r="55" spans="1:17" ht="15.75" customHeight="1">
      <c r="B55" s="133" t="s">
        <v>29</v>
      </c>
      <c r="C55" s="167"/>
      <c r="D55" s="167"/>
      <c r="E55" s="177"/>
      <c r="F55" s="167"/>
      <c r="G55" s="167"/>
      <c r="H55" s="167"/>
      <c r="I55" s="167"/>
      <c r="J55" s="167"/>
      <c r="K55" s="156"/>
      <c r="L55" s="156"/>
      <c r="M55" s="162">
        <f>M53+M45</f>
        <v>56496270.099999994</v>
      </c>
      <c r="N55" s="148"/>
      <c r="O55" s="151"/>
      <c r="Q55" s="108"/>
    </row>
    <row r="56" spans="1:17" ht="15.75" customHeight="1">
      <c r="B56" s="106"/>
      <c r="C56" s="106"/>
      <c r="D56" s="106"/>
      <c r="E56" s="147"/>
      <c r="F56" s="106"/>
      <c r="G56" s="106"/>
      <c r="H56" s="106"/>
      <c r="I56" s="106"/>
      <c r="J56" s="106"/>
      <c r="K56" s="109"/>
      <c r="L56" s="109"/>
      <c r="M56" s="109"/>
    </row>
    <row r="57" spans="1:17" ht="15.75" customHeight="1">
      <c r="B57" s="106"/>
      <c r="C57" s="106"/>
      <c r="D57" s="106"/>
      <c r="E57" s="147"/>
      <c r="F57" s="106"/>
      <c r="G57" s="106"/>
      <c r="H57" s="106"/>
      <c r="I57" s="106"/>
      <c r="J57" s="106"/>
      <c r="K57" s="109"/>
      <c r="L57" s="109"/>
      <c r="M57" s="109"/>
    </row>
    <row r="58" spans="1:17" ht="15.75" customHeight="1">
      <c r="B58" s="106"/>
      <c r="C58" s="106"/>
      <c r="D58" s="106"/>
      <c r="E58" s="147"/>
      <c r="F58" s="106"/>
      <c r="G58" s="106"/>
      <c r="H58" s="106"/>
      <c r="I58" s="106"/>
      <c r="J58" s="106"/>
      <c r="K58" s="109"/>
      <c r="L58" s="109"/>
      <c r="M58" s="109"/>
    </row>
    <row r="59" spans="1:17" ht="15.75" customHeight="1">
      <c r="B59" s="106"/>
      <c r="C59" s="106"/>
      <c r="D59" s="106"/>
      <c r="E59" s="147"/>
      <c r="F59" s="106"/>
      <c r="G59" s="106"/>
      <c r="H59" s="106"/>
      <c r="I59" s="106"/>
      <c r="J59" s="106"/>
      <c r="K59" s="109"/>
      <c r="L59" s="109"/>
      <c r="M59" s="109"/>
    </row>
    <row r="60" spans="1:17" ht="15.75" customHeight="1">
      <c r="B60" s="106"/>
      <c r="C60" s="106"/>
      <c r="D60" s="106"/>
      <c r="E60" s="147"/>
      <c r="F60" s="106"/>
      <c r="G60" s="106"/>
      <c r="H60" s="106"/>
      <c r="I60" s="106"/>
      <c r="J60" s="106"/>
      <c r="K60" s="109"/>
      <c r="L60" s="109"/>
      <c r="M60" s="109"/>
    </row>
    <row r="61" spans="1:17" ht="15.75" customHeight="1">
      <c r="B61" s="106"/>
      <c r="C61" s="106"/>
      <c r="D61" s="106"/>
      <c r="E61" s="144"/>
      <c r="F61" s="106"/>
      <c r="G61" s="106"/>
      <c r="H61" s="106"/>
      <c r="I61" s="106"/>
      <c r="J61" s="106"/>
      <c r="K61" s="106"/>
      <c r="L61" s="106"/>
    </row>
    <row r="62" spans="1:17" ht="15.75" customHeight="1">
      <c r="B62" s="106"/>
      <c r="C62" s="106"/>
      <c r="D62" s="106"/>
      <c r="E62" s="144"/>
      <c r="F62" s="106"/>
      <c r="G62" s="106"/>
      <c r="H62" s="106"/>
      <c r="I62" s="106"/>
      <c r="J62" s="106"/>
      <c r="K62" s="106"/>
      <c r="L62" s="106"/>
    </row>
    <row r="63" spans="1:17" ht="15.75" customHeight="1">
      <c r="B63" s="106"/>
      <c r="C63" s="106"/>
      <c r="D63" s="106"/>
      <c r="E63" s="144"/>
      <c r="F63" s="106"/>
      <c r="G63" s="106"/>
      <c r="H63" s="106"/>
      <c r="I63" s="106"/>
      <c r="J63" s="106"/>
      <c r="K63" s="106"/>
      <c r="L63" s="106"/>
    </row>
  </sheetData>
  <mergeCells count="5">
    <mergeCell ref="B3:M3"/>
    <mergeCell ref="B7:M8"/>
    <mergeCell ref="B23:M24"/>
    <mergeCell ref="B34:M34"/>
    <mergeCell ref="B35:M36"/>
  </mergeCells>
  <pageMargins left="0.25" right="0.25" top="0.75" bottom="0.75" header="0.3" footer="0.3"/>
  <pageSetup paperSize="9" scale="30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63"/>
  <sheetViews>
    <sheetView workbookViewId="0">
      <selection activeCell="E26" sqref="E26:N30"/>
    </sheetView>
  </sheetViews>
  <sheetFormatPr defaultRowHeight="15.75"/>
  <cols>
    <col min="1" max="1" width="15.5703125" style="108" customWidth="1"/>
    <col min="2" max="2" width="67.7109375" style="108" bestFit="1" customWidth="1"/>
    <col min="3" max="3" width="26.42578125" style="108" customWidth="1"/>
    <col min="4" max="5" width="18.7109375" style="108" bestFit="1" customWidth="1"/>
    <col min="6" max="6" width="20.7109375" style="148" customWidth="1"/>
    <col min="7" max="7" width="20.7109375" style="108" customWidth="1"/>
    <col min="8" max="8" width="19.5703125" style="108" bestFit="1" customWidth="1"/>
    <col min="9" max="10" width="18.7109375" style="108" bestFit="1" customWidth="1"/>
    <col min="11" max="11" width="21.42578125" style="108" customWidth="1"/>
    <col min="12" max="14" width="20" style="108" bestFit="1" customWidth="1"/>
  </cols>
  <sheetData>
    <row r="1" spans="1:14">
      <c r="A1" s="106" t="s">
        <v>118</v>
      </c>
      <c r="B1" s="106"/>
      <c r="C1" s="106"/>
      <c r="D1" s="106"/>
      <c r="E1" s="106"/>
      <c r="F1" s="144"/>
      <c r="G1" s="106"/>
      <c r="H1" s="106"/>
      <c r="I1" s="106"/>
      <c r="J1" s="106"/>
      <c r="K1" s="106"/>
      <c r="L1" s="109"/>
      <c r="M1" s="109"/>
      <c r="N1" s="109"/>
    </row>
    <row r="2" spans="1:14">
      <c r="A2" s="106"/>
      <c r="B2" s="106"/>
      <c r="C2" s="106"/>
      <c r="D2" s="106"/>
      <c r="E2" s="106"/>
      <c r="F2" s="144"/>
      <c r="G2" s="106"/>
      <c r="H2" s="106"/>
      <c r="I2" s="106"/>
      <c r="J2" s="106"/>
      <c r="K2" s="106"/>
      <c r="L2" s="109"/>
      <c r="M2" s="109"/>
      <c r="N2" s="109"/>
    </row>
    <row r="3" spans="1:14" ht="20.25">
      <c r="A3" s="106"/>
      <c r="B3" s="367" t="s">
        <v>173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</row>
    <row r="4" spans="1:14">
      <c r="A4" s="106"/>
      <c r="B4" s="106"/>
      <c r="C4" s="106"/>
      <c r="D4" s="106"/>
      <c r="E4" s="106"/>
      <c r="F4" s="144"/>
      <c r="G4" s="106"/>
      <c r="H4" s="106"/>
      <c r="I4" s="106"/>
      <c r="J4" s="106"/>
      <c r="K4" s="106"/>
      <c r="L4" s="109"/>
      <c r="M4" s="109"/>
      <c r="N4" s="109"/>
    </row>
    <row r="5" spans="1:14">
      <c r="A5" s="106"/>
      <c r="B5" s="106"/>
      <c r="C5" s="106"/>
      <c r="D5" s="106"/>
      <c r="E5" s="106"/>
      <c r="F5" s="144"/>
      <c r="G5" s="106"/>
      <c r="H5" s="106"/>
      <c r="I5" s="106"/>
      <c r="J5" s="106"/>
      <c r="K5" s="106"/>
      <c r="L5" s="109"/>
      <c r="M5" s="109"/>
      <c r="N5" s="109"/>
    </row>
    <row r="6" spans="1:14">
      <c r="A6" s="140"/>
      <c r="B6" s="139" t="s">
        <v>0</v>
      </c>
      <c r="C6" s="139" t="s">
        <v>110</v>
      </c>
      <c r="D6" s="139" t="s">
        <v>101</v>
      </c>
      <c r="E6" s="139" t="s">
        <v>90</v>
      </c>
      <c r="F6" s="173" t="s">
        <v>85</v>
      </c>
      <c r="G6" s="139" t="s">
        <v>77</v>
      </c>
      <c r="H6" s="139" t="s">
        <v>69</v>
      </c>
      <c r="I6" s="139" t="s">
        <v>61</v>
      </c>
      <c r="J6" s="139" t="s">
        <v>53</v>
      </c>
      <c r="K6" s="139" t="s">
        <v>44</v>
      </c>
      <c r="L6" s="139" t="s">
        <v>151</v>
      </c>
      <c r="M6" s="139" t="s">
        <v>31</v>
      </c>
      <c r="N6" s="139">
        <v>2022</v>
      </c>
    </row>
    <row r="7" spans="1:14">
      <c r="A7" s="111"/>
      <c r="B7" s="350" t="s">
        <v>127</v>
      </c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</row>
    <row r="8" spans="1:14">
      <c r="A8" s="111"/>
      <c r="B8" s="352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</row>
    <row r="9" spans="1:14">
      <c r="A9" s="111"/>
      <c r="B9" s="118" t="s">
        <v>120</v>
      </c>
      <c r="C9" s="178" t="s">
        <v>2</v>
      </c>
      <c r="D9" s="17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</row>
    <row r="10" spans="1:14">
      <c r="A10" s="106"/>
      <c r="B10" s="136" t="s">
        <v>3</v>
      </c>
      <c r="C10" s="168">
        <f>603897.27+8359.7</f>
        <v>612256.97</v>
      </c>
      <c r="D10" s="168">
        <v>607654.94999999995</v>
      </c>
      <c r="E10" s="168">
        <v>635941.19999999995</v>
      </c>
      <c r="F10" s="168">
        <v>597854.14</v>
      </c>
      <c r="G10" s="168">
        <v>595267.09</v>
      </c>
      <c r="H10" s="168">
        <v>727581.54</v>
      </c>
      <c r="I10" s="168">
        <v>524966.87</v>
      </c>
      <c r="J10" s="168">
        <v>535990.88</v>
      </c>
      <c r="K10" s="168">
        <v>636880.65</v>
      </c>
      <c r="L10" s="138">
        <v>358179.72</v>
      </c>
      <c r="M10" s="138">
        <f>467985.07+2546.27</f>
        <v>470531.34</v>
      </c>
      <c r="N10" s="138">
        <f t="shared" ref="N10:N20" si="0">SUM(C10:M10)</f>
        <v>6303105.3499999996</v>
      </c>
    </row>
    <row r="11" spans="1:14">
      <c r="A11" s="106"/>
      <c r="B11" s="136" t="s">
        <v>4</v>
      </c>
      <c r="C11" s="182">
        <v>389618.14</v>
      </c>
      <c r="D11" s="182">
        <v>386739.3</v>
      </c>
      <c r="E11" s="168">
        <v>404739.76</v>
      </c>
      <c r="F11" s="169">
        <v>380502.6</v>
      </c>
      <c r="G11" s="169">
        <v>378856.21</v>
      </c>
      <c r="H11" s="169">
        <v>463056.11</v>
      </c>
      <c r="I11" s="169">
        <v>487801.26</v>
      </c>
      <c r="J11" s="169">
        <v>189358.6</v>
      </c>
      <c r="K11" s="169">
        <v>405387.8</v>
      </c>
      <c r="L11" s="135">
        <v>227932.55</v>
      </c>
      <c r="M11" s="135">
        <v>452327.34</v>
      </c>
      <c r="N11" s="138">
        <f t="shared" si="0"/>
        <v>4166319.6699999995</v>
      </c>
    </row>
    <row r="12" spans="1:14">
      <c r="A12" s="106"/>
      <c r="B12" s="114" t="s">
        <v>213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126693.92</v>
      </c>
      <c r="J12" s="171">
        <v>126693.92</v>
      </c>
      <c r="K12" s="170">
        <v>126693.92</v>
      </c>
      <c r="L12" s="115">
        <v>126693.92</v>
      </c>
      <c r="M12" s="115">
        <v>126693.92</v>
      </c>
      <c r="N12" s="138">
        <f t="shared" si="0"/>
        <v>2213292.0999999996</v>
      </c>
    </row>
    <row r="13" spans="1:14">
      <c r="A13" s="106"/>
      <c r="B13" s="114" t="s">
        <v>6</v>
      </c>
      <c r="C13" s="171">
        <f>460999.72-285460.85</f>
        <v>175538.87</v>
      </c>
      <c r="D13" s="171">
        <v>681937.77</v>
      </c>
      <c r="E13" s="171">
        <v>404682.47</v>
      </c>
      <c r="F13" s="171">
        <v>676344.82</v>
      </c>
      <c r="G13" s="171">
        <v>421416.32</v>
      </c>
      <c r="H13" s="171">
        <v>-84090.74</v>
      </c>
      <c r="I13" s="171">
        <v>505838.52</v>
      </c>
      <c r="J13" s="171">
        <v>16001.38</v>
      </c>
      <c r="K13" s="171">
        <v>809918.94</v>
      </c>
      <c r="L13" s="115">
        <v>98226.79</v>
      </c>
      <c r="M13" s="115">
        <v>38967.99</v>
      </c>
      <c r="N13" s="138">
        <f t="shared" si="0"/>
        <v>3744783.1299999994</v>
      </c>
    </row>
    <row r="14" spans="1:14">
      <c r="A14" s="106"/>
      <c r="B14" s="114" t="s">
        <v>212</v>
      </c>
      <c r="C14" s="171">
        <v>57257.599999999999</v>
      </c>
      <c r="D14" s="171">
        <v>57441.41</v>
      </c>
      <c r="E14" s="171">
        <f>57964.94+57617.15</f>
        <v>115582.09</v>
      </c>
      <c r="F14" s="171">
        <v>0</v>
      </c>
      <c r="G14" s="171">
        <v>57607.77</v>
      </c>
      <c r="H14" s="171">
        <v>57349.7</v>
      </c>
      <c r="I14" s="171">
        <v>56759.4</v>
      </c>
      <c r="J14" s="171">
        <v>55805.13</v>
      </c>
      <c r="K14" s="171">
        <v>55252.6</v>
      </c>
      <c r="L14" s="115">
        <v>54884.88</v>
      </c>
      <c r="M14" s="115">
        <v>54487.12</v>
      </c>
      <c r="N14" s="138">
        <f t="shared" si="0"/>
        <v>622427.69999999995</v>
      </c>
    </row>
    <row r="15" spans="1:14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15">
        <v>23811.51</v>
      </c>
      <c r="N15" s="138">
        <f t="shared" si="0"/>
        <v>23811.51</v>
      </c>
    </row>
    <row r="16" spans="1:14">
      <c r="A16" s="106"/>
      <c r="B16" s="114" t="s">
        <v>211</v>
      </c>
      <c r="C16" s="179">
        <v>12920.29</v>
      </c>
      <c r="D16" s="179">
        <v>12961.2</v>
      </c>
      <c r="E16" s="171">
        <v>12936.32</v>
      </c>
      <c r="F16" s="171">
        <v>12949.78</v>
      </c>
      <c r="G16" s="171">
        <v>12742.8</v>
      </c>
      <c r="H16" s="171">
        <v>12621.89</v>
      </c>
      <c r="I16" s="171">
        <v>12430.62</v>
      </c>
      <c r="J16" s="171">
        <v>12368.92</v>
      </c>
      <c r="K16" s="171">
        <v>11980.7</v>
      </c>
      <c r="L16" s="115">
        <v>11840.9</v>
      </c>
      <c r="M16" s="115">
        <v>11697.01</v>
      </c>
      <c r="N16" s="138">
        <f t="shared" si="0"/>
        <v>137450.43</v>
      </c>
    </row>
    <row r="17" spans="1:14">
      <c r="A17" s="106"/>
      <c r="B17" s="114" t="s">
        <v>210</v>
      </c>
      <c r="C17" s="179">
        <v>5386.52</v>
      </c>
      <c r="D17" s="179">
        <v>5403.56</v>
      </c>
      <c r="E17" s="171">
        <v>5393.18</v>
      </c>
      <c r="F17" s="171">
        <v>5398.8</v>
      </c>
      <c r="G17" s="171">
        <v>5312.52</v>
      </c>
      <c r="H17" s="171">
        <v>5262.12</v>
      </c>
      <c r="I17" s="171">
        <v>5182.37</v>
      </c>
      <c r="J17" s="171">
        <v>5156.6499999999996</v>
      </c>
      <c r="K17" s="171">
        <v>4994.8</v>
      </c>
      <c r="L17" s="115">
        <v>4936.5200000000004</v>
      </c>
      <c r="M17" s="115">
        <v>4876.53</v>
      </c>
      <c r="N17" s="138">
        <f t="shared" si="0"/>
        <v>57303.570000000007</v>
      </c>
    </row>
    <row r="18" spans="1:14">
      <c r="A18" s="106"/>
      <c r="B18" s="114" t="s">
        <v>209</v>
      </c>
      <c r="C18" s="179">
        <v>18454</v>
      </c>
      <c r="D18" s="179">
        <v>18512.490000000002</v>
      </c>
      <c r="E18" s="171">
        <v>18476.41</v>
      </c>
      <c r="F18" s="171">
        <v>18497.71</v>
      </c>
      <c r="G18" s="171">
        <v>18201.28</v>
      </c>
      <c r="H18" s="171">
        <v>18028.2</v>
      </c>
      <c r="I18" s="171">
        <v>17753.55</v>
      </c>
      <c r="J18" s="171">
        <v>17665.8</v>
      </c>
      <c r="K18" s="171">
        <v>17111.64</v>
      </c>
      <c r="L18" s="115">
        <v>17026.22</v>
      </c>
      <c r="M18" s="115">
        <v>16706.07</v>
      </c>
      <c r="N18" s="138">
        <f t="shared" si="0"/>
        <v>196433.37000000002</v>
      </c>
    </row>
    <row r="19" spans="1:14">
      <c r="A19" s="106"/>
      <c r="B19" s="114" t="s">
        <v>178</v>
      </c>
      <c r="C19" s="179">
        <f>12520.13-1429.51</f>
        <v>11090.619999999999</v>
      </c>
      <c r="D19" s="171">
        <v>7701.38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82684.009999999995</v>
      </c>
      <c r="K19" s="171">
        <v>11242.71</v>
      </c>
      <c r="L19" s="115">
        <v>0</v>
      </c>
      <c r="M19" s="115">
        <v>0</v>
      </c>
      <c r="N19" s="138">
        <f t="shared" si="0"/>
        <v>168932.27</v>
      </c>
    </row>
    <row r="20" spans="1:14">
      <c r="A20" s="106"/>
      <c r="B20" s="114" t="s">
        <v>192</v>
      </c>
      <c r="C20" s="171">
        <v>6222.96</v>
      </c>
      <c r="D20" s="115">
        <v>0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(1168.12*2)+(1943.36*2)</f>
        <v>6222.9599999999991</v>
      </c>
      <c r="J20" s="171">
        <v>0</v>
      </c>
      <c r="K20" s="171">
        <v>15557.47</v>
      </c>
      <c r="L20" s="115">
        <v>1168.1199999999999</v>
      </c>
      <c r="M20" s="115">
        <v>3231.48</v>
      </c>
      <c r="N20" s="138">
        <f t="shared" si="0"/>
        <v>44848.91</v>
      </c>
    </row>
    <row r="21" spans="1:14">
      <c r="A21" s="111"/>
      <c r="B21" s="116" t="s">
        <v>9</v>
      </c>
      <c r="C21" s="117">
        <f t="shared" ref="C21:D21" si="1">SUM(C10:C20)</f>
        <v>1552049.7200000002</v>
      </c>
      <c r="D21" s="117">
        <f t="shared" si="1"/>
        <v>2041655.8099999998</v>
      </c>
      <c r="E21" s="117">
        <f t="shared" ref="E21:M21" si="2">SUM(E10:E20)</f>
        <v>1875409.3699999999</v>
      </c>
      <c r="F21" s="117">
        <f t="shared" si="2"/>
        <v>1969205.79</v>
      </c>
      <c r="G21" s="117">
        <f t="shared" si="2"/>
        <v>1767061.9300000002</v>
      </c>
      <c r="H21" s="117">
        <f t="shared" si="2"/>
        <v>1477466.7599999998</v>
      </c>
      <c r="I21" s="117">
        <f t="shared" si="2"/>
        <v>1754892.1800000002</v>
      </c>
      <c r="J21" s="117">
        <f t="shared" si="2"/>
        <v>1041725.2900000002</v>
      </c>
      <c r="K21" s="117">
        <f t="shared" si="2"/>
        <v>2095021.2299999997</v>
      </c>
      <c r="L21" s="117">
        <f t="shared" si="2"/>
        <v>900889.62000000011</v>
      </c>
      <c r="M21" s="117">
        <f t="shared" si="2"/>
        <v>1203330.3100000003</v>
      </c>
      <c r="N21" s="117">
        <f>SUM(N10:N20)</f>
        <v>17678708.010000002</v>
      </c>
    </row>
    <row r="22" spans="1:14">
      <c r="A22" s="106"/>
      <c r="B22" s="106"/>
      <c r="C22" s="180"/>
      <c r="D22" s="143"/>
      <c r="E22" s="106"/>
      <c r="F22" s="181"/>
      <c r="G22" s="106"/>
      <c r="H22" s="106"/>
      <c r="I22" s="106"/>
      <c r="J22" s="106"/>
      <c r="K22" s="106"/>
      <c r="L22" s="109"/>
      <c r="M22" s="109"/>
      <c r="N22" s="109"/>
    </row>
    <row r="23" spans="1:14">
      <c r="A23" s="111"/>
      <c r="B23" s="350" t="s">
        <v>128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</row>
    <row r="24" spans="1:14">
      <c r="A24" s="106"/>
      <c r="B24" s="352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</row>
    <row r="25" spans="1:14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</row>
    <row r="26" spans="1:14">
      <c r="A26" s="106"/>
      <c r="B26" s="114" t="s">
        <v>207</v>
      </c>
      <c r="C26" s="171">
        <v>626353.94999999995</v>
      </c>
      <c r="D26" s="171">
        <v>628298.59</v>
      </c>
      <c r="E26" s="171">
        <v>621961.06000000006</v>
      </c>
      <c r="F26" s="179">
        <v>615746.06999999995</v>
      </c>
      <c r="G26" s="171">
        <v>617621.43000000005</v>
      </c>
      <c r="H26" s="179">
        <v>925293.45</v>
      </c>
      <c r="I26" s="179">
        <v>755023.19</v>
      </c>
      <c r="J26" s="179">
        <v>548127.35</v>
      </c>
      <c r="K26" s="179">
        <v>542075.24</v>
      </c>
      <c r="L26" s="189">
        <v>495470.49</v>
      </c>
      <c r="M26" s="115">
        <v>487626.13</v>
      </c>
      <c r="N26" s="115">
        <f>SUM(B26:M26)</f>
        <v>6863596.9500000002</v>
      </c>
    </row>
    <row r="27" spans="1:14">
      <c r="A27" s="106"/>
      <c r="B27" s="114" t="s">
        <v>150</v>
      </c>
      <c r="C27" s="171">
        <v>66848.59</v>
      </c>
      <c r="D27" s="171">
        <v>66848.59</v>
      </c>
      <c r="E27" s="171">
        <v>66848.59</v>
      </c>
      <c r="F27" s="179">
        <v>69264.009999999995</v>
      </c>
      <c r="G27" s="171">
        <v>64433.17</v>
      </c>
      <c r="H27" s="179">
        <v>97154.79</v>
      </c>
      <c r="I27" s="179">
        <v>67044.08</v>
      </c>
      <c r="J27" s="179">
        <v>64945.72</v>
      </c>
      <c r="K27" s="179">
        <v>64945.72</v>
      </c>
      <c r="L27" s="189">
        <v>63584.02</v>
      </c>
      <c r="M27" s="115">
        <v>65481.06</v>
      </c>
      <c r="N27" s="115">
        <f>SUM(B27:M27)</f>
        <v>757398.33999999985</v>
      </c>
    </row>
    <row r="28" spans="1:14">
      <c r="A28" s="106"/>
      <c r="B28" s="114" t="s">
        <v>171</v>
      </c>
      <c r="C28" s="172">
        <v>37105.31</v>
      </c>
      <c r="D28" s="172">
        <v>37053.96</v>
      </c>
      <c r="E28" s="191">
        <v>37429.24</v>
      </c>
      <c r="F28" s="191">
        <v>36658.53</v>
      </c>
      <c r="G28" s="191">
        <v>38537.58</v>
      </c>
      <c r="H28" s="191">
        <v>46269.5</v>
      </c>
      <c r="I28" s="191">
        <v>40256.519999999997</v>
      </c>
      <c r="J28" s="191">
        <v>27034.39</v>
      </c>
      <c r="K28" s="191">
        <v>24052.01</v>
      </c>
      <c r="L28" s="190">
        <v>21886.080000000002</v>
      </c>
      <c r="M28" s="119">
        <v>17676.18</v>
      </c>
      <c r="N28" s="115">
        <f>SUM(B28:M28)</f>
        <v>363959.30000000005</v>
      </c>
    </row>
    <row r="29" spans="1:14">
      <c r="A29" s="106"/>
      <c r="B29" s="114" t="s">
        <v>193</v>
      </c>
      <c r="C29" s="171">
        <v>1683.17</v>
      </c>
      <c r="D29" s="171">
        <v>4818.75</v>
      </c>
      <c r="E29" s="171">
        <f>1531.08</f>
        <v>1531.08</v>
      </c>
      <c r="F29" s="179">
        <f>1531.08</f>
        <v>1531.08</v>
      </c>
      <c r="G29" s="179">
        <v>1277.42</v>
      </c>
      <c r="H29" s="179">
        <f>1531.08</f>
        <v>1531.08</v>
      </c>
      <c r="I29" s="179">
        <v>16262.03</v>
      </c>
      <c r="J29" s="179">
        <v>0</v>
      </c>
      <c r="K29" s="179">
        <v>0</v>
      </c>
      <c r="L29" s="189">
        <v>0</v>
      </c>
      <c r="M29" s="115">
        <v>0</v>
      </c>
      <c r="N29" s="115">
        <f>SUM(B29:M29)</f>
        <v>28634.61</v>
      </c>
    </row>
    <row r="30" spans="1:14">
      <c r="A30" s="106"/>
      <c r="B30" s="114" t="s">
        <v>130</v>
      </c>
      <c r="C30" s="172">
        <f>797045.22-C26-C27-C28-C29</f>
        <v>65054.200000000026</v>
      </c>
      <c r="D30" s="172">
        <f>779493.31-D26-D27-D28-D29</f>
        <v>42473.420000000093</v>
      </c>
      <c r="E30" s="172">
        <v>45044</v>
      </c>
      <c r="F30" s="191">
        <v>76149.100000000006</v>
      </c>
      <c r="G30" s="172">
        <v>46552.78</v>
      </c>
      <c r="H30" s="191">
        <v>89171.65</v>
      </c>
      <c r="I30" s="191">
        <v>37362.04</v>
      </c>
      <c r="J30" s="191">
        <v>55560.09</v>
      </c>
      <c r="K30" s="191">
        <v>22252.83</v>
      </c>
      <c r="L30" s="190">
        <v>14595.13</v>
      </c>
      <c r="M30" s="119">
        <v>7086.12</v>
      </c>
      <c r="N30" s="115">
        <f>SUM(B30:M30)</f>
        <v>501301.36000000016</v>
      </c>
    </row>
    <row r="31" spans="1:14">
      <c r="A31" s="111"/>
      <c r="B31" s="120" t="s">
        <v>84</v>
      </c>
      <c r="C31" s="121">
        <f t="shared" ref="C31" si="3">SUM(C26:C30)</f>
        <v>797045.22</v>
      </c>
      <c r="D31" s="121">
        <f t="shared" ref="D31" si="4">SUM(D26:D30)</f>
        <v>779493.30999999994</v>
      </c>
      <c r="E31" s="121">
        <f t="shared" ref="E31:M31" si="5">SUM(E26:E30)</f>
        <v>772813.97</v>
      </c>
      <c r="F31" s="121">
        <f t="shared" si="5"/>
        <v>799348.78999999992</v>
      </c>
      <c r="G31" s="121">
        <f t="shared" si="5"/>
        <v>768422.38000000012</v>
      </c>
      <c r="H31" s="121">
        <f t="shared" si="5"/>
        <v>1159420.47</v>
      </c>
      <c r="I31" s="121">
        <f t="shared" si="5"/>
        <v>915947.86</v>
      </c>
      <c r="J31" s="121">
        <f t="shared" si="5"/>
        <v>695667.54999999993</v>
      </c>
      <c r="K31" s="121">
        <f t="shared" si="5"/>
        <v>653325.79999999993</v>
      </c>
      <c r="L31" s="121">
        <f t="shared" si="5"/>
        <v>595535.72</v>
      </c>
      <c r="M31" s="121">
        <f t="shared" si="5"/>
        <v>577869.49</v>
      </c>
      <c r="N31" s="121">
        <f>SUM(N26:N30)</f>
        <v>8514890.5600000005</v>
      </c>
    </row>
    <row r="32" spans="1:14">
      <c r="A32" s="111"/>
      <c r="B32" s="163" t="s">
        <v>14</v>
      </c>
      <c r="C32" s="164">
        <f t="shared" ref="C32" si="6">C21-C31</f>
        <v>755004.50000000023</v>
      </c>
      <c r="D32" s="164">
        <f t="shared" ref="D32:M32" si="7">D21-D31</f>
        <v>1262162.5</v>
      </c>
      <c r="E32" s="164">
        <f t="shared" si="7"/>
        <v>1102595.3999999999</v>
      </c>
      <c r="F32" s="164">
        <f t="shared" si="7"/>
        <v>1169857</v>
      </c>
      <c r="G32" s="164">
        <f t="shared" si="7"/>
        <v>998639.55</v>
      </c>
      <c r="H32" s="164">
        <f t="shared" si="7"/>
        <v>318046.2899999998</v>
      </c>
      <c r="I32" s="164">
        <f t="shared" si="7"/>
        <v>838944.32000000018</v>
      </c>
      <c r="J32" s="164">
        <f t="shared" si="7"/>
        <v>346057.74000000022</v>
      </c>
      <c r="K32" s="164">
        <f t="shared" si="7"/>
        <v>1441695.4299999997</v>
      </c>
      <c r="L32" s="164">
        <f t="shared" si="7"/>
        <v>305353.90000000014</v>
      </c>
      <c r="M32" s="164">
        <f t="shared" si="7"/>
        <v>625460.8200000003</v>
      </c>
      <c r="N32" s="159">
        <f>N21-N31</f>
        <v>9163817.4500000011</v>
      </c>
    </row>
    <row r="33" spans="1:14">
      <c r="A33" s="106"/>
      <c r="B33" s="106"/>
      <c r="C33" s="106"/>
      <c r="D33" s="180"/>
      <c r="E33" s="106"/>
      <c r="F33" s="147"/>
      <c r="G33" s="106"/>
      <c r="H33" s="106"/>
      <c r="I33" s="106"/>
      <c r="J33" s="106"/>
      <c r="K33" s="106"/>
      <c r="L33" s="109"/>
      <c r="M33" s="109"/>
      <c r="N33" s="109"/>
    </row>
    <row r="34" spans="1:14">
      <c r="A34" s="111"/>
      <c r="B34" s="362" t="s">
        <v>15</v>
      </c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4"/>
    </row>
    <row r="35" spans="1:14">
      <c r="A35" s="111"/>
      <c r="B35" s="350" t="s">
        <v>16</v>
      </c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65"/>
    </row>
    <row r="36" spans="1:14">
      <c r="A36" s="106"/>
      <c r="B36" s="352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66"/>
    </row>
    <row r="37" spans="1:14">
      <c r="A37" s="106"/>
      <c r="B37" s="153" t="s">
        <v>17</v>
      </c>
      <c r="C37" s="165"/>
      <c r="D37" s="165"/>
      <c r="E37" s="165"/>
      <c r="F37" s="174"/>
      <c r="G37" s="165"/>
      <c r="H37" s="165"/>
      <c r="I37" s="165"/>
      <c r="J37" s="165"/>
      <c r="K37" s="165"/>
      <c r="L37" s="154"/>
      <c r="M37" s="154"/>
      <c r="N37" s="130" t="s">
        <v>2</v>
      </c>
    </row>
    <row r="38" spans="1:14">
      <c r="A38" s="106"/>
      <c r="B38" s="136" t="s">
        <v>180</v>
      </c>
      <c r="C38" s="166"/>
      <c r="D38" s="166"/>
      <c r="E38" s="166"/>
      <c r="F38" s="175"/>
      <c r="G38" s="166"/>
      <c r="H38" s="166"/>
      <c r="I38" s="166"/>
      <c r="J38" s="166"/>
      <c r="K38" s="166"/>
      <c r="L38" s="155"/>
      <c r="M38" s="155"/>
      <c r="N38" s="161">
        <v>0</v>
      </c>
    </row>
    <row r="39" spans="1:14">
      <c r="A39" s="106"/>
      <c r="B39" s="136" t="s">
        <v>181</v>
      </c>
      <c r="C39" s="166"/>
      <c r="D39" s="166"/>
      <c r="E39" s="166"/>
      <c r="F39" s="175"/>
      <c r="G39" s="166"/>
      <c r="H39" s="166"/>
      <c r="I39" s="166"/>
      <c r="J39" s="166"/>
      <c r="K39" s="166"/>
      <c r="L39" s="155"/>
      <c r="M39" s="155"/>
      <c r="N39" s="161">
        <v>0</v>
      </c>
    </row>
    <row r="40" spans="1:14">
      <c r="A40" s="106"/>
      <c r="B40" s="136" t="s">
        <v>132</v>
      </c>
      <c r="C40" s="166"/>
      <c r="D40" s="166"/>
      <c r="E40" s="166"/>
      <c r="F40" s="175"/>
      <c r="G40" s="166"/>
      <c r="H40" s="166"/>
      <c r="I40" s="166"/>
      <c r="J40" s="166"/>
      <c r="K40" s="166"/>
      <c r="L40" s="155"/>
      <c r="M40" s="155"/>
      <c r="N40" s="161">
        <v>0</v>
      </c>
    </row>
    <row r="41" spans="1:14">
      <c r="A41" s="106"/>
      <c r="B41" s="136" t="s">
        <v>208</v>
      </c>
      <c r="C41" s="166"/>
      <c r="D41" s="166"/>
      <c r="E41" s="166"/>
      <c r="F41" s="175"/>
      <c r="G41" s="166"/>
      <c r="H41" s="166"/>
      <c r="I41" s="166"/>
      <c r="J41" s="166"/>
      <c r="K41" s="166"/>
      <c r="L41" s="155"/>
      <c r="M41" s="155"/>
      <c r="N41" s="161">
        <v>283812.77</v>
      </c>
    </row>
    <row r="42" spans="1:14">
      <c r="A42" s="106"/>
      <c r="B42" s="136" t="s">
        <v>20</v>
      </c>
      <c r="C42" s="166"/>
      <c r="D42" s="166"/>
      <c r="E42" s="166"/>
      <c r="F42" s="175"/>
      <c r="G42" s="166"/>
      <c r="H42" s="166"/>
      <c r="I42" s="166"/>
      <c r="J42" s="166"/>
      <c r="K42" s="166"/>
      <c r="L42" s="155"/>
      <c r="M42" s="155"/>
      <c r="N42" s="161">
        <v>134497.07</v>
      </c>
    </row>
    <row r="43" spans="1:14">
      <c r="A43" s="106"/>
      <c r="B43" s="136" t="s">
        <v>21</v>
      </c>
      <c r="C43" s="166"/>
      <c r="D43" s="166"/>
      <c r="E43" s="166"/>
      <c r="F43" s="175"/>
      <c r="G43" s="166"/>
      <c r="H43" s="166"/>
      <c r="I43" s="166"/>
      <c r="J43" s="166"/>
      <c r="K43" s="166"/>
      <c r="L43" s="155"/>
      <c r="M43" s="155"/>
      <c r="N43" s="161">
        <v>14475.68</v>
      </c>
    </row>
    <row r="44" spans="1:14">
      <c r="A44" s="106"/>
      <c r="B44" s="136" t="s">
        <v>22</v>
      </c>
      <c r="C44" s="166"/>
      <c r="D44" s="166"/>
      <c r="E44" s="166"/>
      <c r="F44" s="175"/>
      <c r="G44" s="166"/>
      <c r="H44" s="166"/>
      <c r="I44" s="166"/>
      <c r="J44" s="166"/>
      <c r="K44" s="166"/>
      <c r="L44" s="155"/>
      <c r="M44" s="155"/>
      <c r="N44" s="161">
        <v>49.81</v>
      </c>
    </row>
    <row r="45" spans="1:14">
      <c r="A45" s="106"/>
      <c r="B45" s="153" t="s">
        <v>23</v>
      </c>
      <c r="C45" s="165"/>
      <c r="D45" s="165"/>
      <c r="E45" s="165"/>
      <c r="F45" s="174"/>
      <c r="G45" s="165"/>
      <c r="H45" s="165"/>
      <c r="I45" s="165"/>
      <c r="J45" s="165"/>
      <c r="K45" s="165"/>
      <c r="L45" s="154"/>
      <c r="M45" s="154"/>
      <c r="N45" s="160">
        <f>SUM(N38:N44)</f>
        <v>432835.33</v>
      </c>
    </row>
    <row r="46" spans="1:14">
      <c r="A46" s="106"/>
      <c r="B46" s="157"/>
      <c r="C46" s="106"/>
      <c r="D46" s="106"/>
      <c r="E46" s="106"/>
      <c r="F46" s="144"/>
      <c r="G46" s="106"/>
      <c r="H46" s="106"/>
      <c r="I46" s="106"/>
      <c r="J46" s="106"/>
      <c r="K46" s="106"/>
      <c r="L46" s="150"/>
      <c r="M46" s="150"/>
      <c r="N46" s="150"/>
    </row>
    <row r="47" spans="1:14">
      <c r="A47" s="106"/>
      <c r="B47" s="153" t="s">
        <v>24</v>
      </c>
      <c r="C47" s="165"/>
      <c r="D47" s="165"/>
      <c r="E47" s="165"/>
      <c r="F47" s="174"/>
      <c r="G47" s="165"/>
      <c r="H47" s="165"/>
      <c r="I47" s="165"/>
      <c r="J47" s="165"/>
      <c r="K47" s="165"/>
      <c r="L47" s="154"/>
      <c r="M47" s="154"/>
      <c r="N47" s="130" t="s">
        <v>2</v>
      </c>
    </row>
    <row r="48" spans="1:14">
      <c r="A48" s="106"/>
      <c r="B48" s="136" t="s">
        <v>200</v>
      </c>
      <c r="C48" s="166"/>
      <c r="D48" s="166"/>
      <c r="E48" s="166"/>
      <c r="F48" s="175"/>
      <c r="G48" s="166"/>
      <c r="H48" s="166"/>
      <c r="I48" s="166"/>
      <c r="J48" s="166"/>
      <c r="K48" s="166"/>
      <c r="L48" s="155"/>
      <c r="M48" s="155"/>
      <c r="N48" s="161">
        <v>10169957.74</v>
      </c>
    </row>
    <row r="49" spans="1:14">
      <c r="A49" s="106"/>
      <c r="B49" s="136" t="s">
        <v>206</v>
      </c>
      <c r="C49" s="166"/>
      <c r="D49" s="166"/>
      <c r="E49" s="166"/>
      <c r="F49" s="175"/>
      <c r="G49" s="166"/>
      <c r="H49" s="166"/>
      <c r="I49" s="166"/>
      <c r="J49" s="166"/>
      <c r="K49" s="166"/>
      <c r="L49" s="155"/>
      <c r="M49" s="155"/>
      <c r="N49" s="161">
        <v>9839452.1099999994</v>
      </c>
    </row>
    <row r="50" spans="1:14">
      <c r="A50" s="106"/>
      <c r="B50" s="136" t="s">
        <v>25</v>
      </c>
      <c r="C50" s="166"/>
      <c r="D50" s="166"/>
      <c r="E50" s="166"/>
      <c r="F50" s="175"/>
      <c r="G50" s="166"/>
      <c r="H50" s="166"/>
      <c r="I50" s="166"/>
      <c r="J50" s="166"/>
      <c r="K50" s="166"/>
      <c r="L50" s="155"/>
      <c r="M50" s="155"/>
      <c r="N50" s="161">
        <v>27089135.510000002</v>
      </c>
    </row>
    <row r="51" spans="1:14">
      <c r="B51" s="136" t="s">
        <v>26</v>
      </c>
      <c r="C51" s="166"/>
      <c r="D51" s="166"/>
      <c r="E51" s="166"/>
      <c r="F51" s="175"/>
      <c r="G51" s="166"/>
      <c r="H51" s="166"/>
      <c r="I51" s="166"/>
      <c r="J51" s="166"/>
      <c r="K51" s="166"/>
      <c r="L51" s="155"/>
      <c r="M51" s="155"/>
      <c r="N51" s="161">
        <f>6110909.74+883392.22+1521675.25+63744.7+890625.57</f>
        <v>9470347.4800000004</v>
      </c>
    </row>
    <row r="52" spans="1:14">
      <c r="B52" s="136" t="s">
        <v>131</v>
      </c>
      <c r="C52" s="166"/>
      <c r="D52" s="166"/>
      <c r="E52" s="166"/>
      <c r="F52" s="175"/>
      <c r="G52" s="166"/>
      <c r="H52" s="166"/>
      <c r="I52" s="166"/>
      <c r="J52" s="166"/>
      <c r="K52" s="166"/>
      <c r="L52" s="155"/>
      <c r="M52" s="155"/>
      <c r="N52" s="161">
        <v>257858.47</v>
      </c>
    </row>
    <row r="53" spans="1:14">
      <c r="B53" s="153" t="s">
        <v>28</v>
      </c>
      <c r="C53" s="165"/>
      <c r="D53" s="165"/>
      <c r="E53" s="165"/>
      <c r="F53" s="174"/>
      <c r="G53" s="165"/>
      <c r="H53" s="165"/>
      <c r="I53" s="165"/>
      <c r="J53" s="165"/>
      <c r="K53" s="165"/>
      <c r="L53" s="154"/>
      <c r="M53" s="154"/>
      <c r="N53" s="160">
        <f>SUM(N48:N52)</f>
        <v>56826751.310000002</v>
      </c>
    </row>
    <row r="54" spans="1:14">
      <c r="B54" s="158"/>
      <c r="C54" s="131"/>
      <c r="D54" s="131"/>
      <c r="E54" s="131"/>
      <c r="F54" s="176"/>
      <c r="G54" s="131"/>
      <c r="H54" s="131"/>
      <c r="I54" s="131"/>
      <c r="J54" s="131"/>
      <c r="K54" s="131"/>
      <c r="L54" s="132"/>
      <c r="M54" s="132"/>
      <c r="N54" s="155"/>
    </row>
    <row r="55" spans="1:14">
      <c r="B55" s="133" t="s">
        <v>29</v>
      </c>
      <c r="C55" s="167"/>
      <c r="D55" s="167"/>
      <c r="E55" s="167"/>
      <c r="F55" s="177"/>
      <c r="G55" s="167"/>
      <c r="H55" s="167"/>
      <c r="I55" s="167"/>
      <c r="J55" s="167"/>
      <c r="K55" s="167"/>
      <c r="L55" s="156"/>
      <c r="M55" s="156"/>
      <c r="N55" s="162">
        <f>N53+N45</f>
        <v>57259586.640000001</v>
      </c>
    </row>
    <row r="56" spans="1:14">
      <c r="B56" s="106"/>
      <c r="C56" s="106"/>
      <c r="D56" s="106"/>
      <c r="E56" s="106"/>
      <c r="F56" s="147"/>
      <c r="G56" s="106"/>
      <c r="H56" s="106"/>
      <c r="I56" s="106"/>
      <c r="J56" s="106"/>
      <c r="K56" s="106"/>
      <c r="L56" s="109"/>
      <c r="M56" s="109"/>
      <c r="N56" s="109"/>
    </row>
    <row r="57" spans="1:14">
      <c r="B57" s="106"/>
      <c r="C57" s="106"/>
      <c r="D57" s="106"/>
      <c r="E57" s="106"/>
      <c r="F57" s="147"/>
      <c r="G57" s="106"/>
      <c r="H57" s="106"/>
      <c r="I57" s="106"/>
      <c r="J57" s="106"/>
      <c r="K57" s="106"/>
      <c r="L57" s="109"/>
      <c r="M57" s="109"/>
      <c r="N57" s="109"/>
    </row>
    <row r="58" spans="1:14">
      <c r="B58" s="106"/>
      <c r="C58" s="106"/>
      <c r="D58" s="106"/>
      <c r="E58" s="106"/>
      <c r="F58" s="147"/>
      <c r="G58" s="106"/>
      <c r="H58" s="106"/>
      <c r="I58" s="106"/>
      <c r="J58" s="106"/>
      <c r="K58" s="106"/>
      <c r="L58" s="109"/>
      <c r="M58" s="109"/>
      <c r="N58" s="109"/>
    </row>
    <row r="59" spans="1:14">
      <c r="B59" s="106"/>
      <c r="C59" s="106"/>
      <c r="D59" s="106"/>
      <c r="E59" s="106"/>
      <c r="F59" s="147"/>
      <c r="G59" s="106"/>
      <c r="H59" s="106"/>
      <c r="I59" s="106"/>
      <c r="J59" s="106"/>
      <c r="K59" s="106"/>
      <c r="L59" s="109"/>
      <c r="M59" s="109"/>
      <c r="N59" s="109"/>
    </row>
    <row r="60" spans="1:14">
      <c r="B60" s="106"/>
      <c r="C60" s="106"/>
      <c r="D60" s="106"/>
      <c r="E60" s="106"/>
      <c r="F60" s="147"/>
      <c r="G60" s="106"/>
      <c r="H60" s="106"/>
      <c r="I60" s="106"/>
      <c r="J60" s="106"/>
      <c r="K60" s="106"/>
      <c r="L60" s="109"/>
      <c r="M60" s="109"/>
      <c r="N60" s="109"/>
    </row>
    <row r="61" spans="1:14">
      <c r="B61" s="106"/>
      <c r="C61" s="106"/>
      <c r="D61" s="106"/>
      <c r="E61" s="106"/>
      <c r="F61" s="144"/>
      <c r="G61" s="106"/>
      <c r="H61" s="106"/>
      <c r="I61" s="106"/>
      <c r="J61" s="106"/>
      <c r="K61" s="106"/>
      <c r="L61" s="106"/>
      <c r="M61" s="106"/>
    </row>
    <row r="62" spans="1:14">
      <c r="B62" s="106"/>
      <c r="C62" s="106"/>
      <c r="D62" s="106"/>
      <c r="E62" s="106"/>
      <c r="F62" s="144"/>
      <c r="G62" s="106"/>
      <c r="H62" s="106"/>
      <c r="I62" s="106"/>
      <c r="J62" s="106"/>
      <c r="K62" s="106"/>
      <c r="L62" s="106"/>
      <c r="M62" s="106"/>
    </row>
    <row r="63" spans="1:14">
      <c r="B63" s="106"/>
      <c r="C63" s="106"/>
      <c r="D63" s="106"/>
      <c r="E63" s="106"/>
      <c r="F63" s="144"/>
      <c r="G63" s="106"/>
      <c r="H63" s="106"/>
      <c r="I63" s="106"/>
      <c r="J63" s="106"/>
      <c r="K63" s="106"/>
      <c r="L63" s="106"/>
      <c r="M63" s="106"/>
    </row>
  </sheetData>
  <mergeCells count="5">
    <mergeCell ref="B3:N3"/>
    <mergeCell ref="B7:N8"/>
    <mergeCell ref="B23:N24"/>
    <mergeCell ref="B34:N34"/>
    <mergeCell ref="B35:N36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63"/>
  <sheetViews>
    <sheetView showGridLines="0" workbookViewId="0">
      <selection activeCell="B13" sqref="B13"/>
    </sheetView>
  </sheetViews>
  <sheetFormatPr defaultRowHeight="15.75"/>
  <cols>
    <col min="1" max="1" width="1.5703125" style="108" bestFit="1" customWidth="1"/>
    <col min="2" max="2" width="61.7109375" style="108" bestFit="1" customWidth="1"/>
    <col min="3" max="6" width="18.7109375" style="108" bestFit="1" customWidth="1"/>
    <col min="7" max="7" width="18.7109375" style="148" bestFit="1" customWidth="1"/>
    <col min="8" max="12" width="18.7109375" style="108" bestFit="1" customWidth="1"/>
    <col min="13" max="13" width="16.5703125" style="108" bestFit="1" customWidth="1"/>
    <col min="14" max="14" width="18.7109375" style="108" bestFit="1" customWidth="1"/>
    <col min="15" max="15" width="20" style="108" bestFit="1" customWidth="1"/>
    <col min="16" max="16" width="14.85546875" customWidth="1"/>
  </cols>
  <sheetData>
    <row r="1" spans="1:16">
      <c r="A1" s="106" t="s">
        <v>118</v>
      </c>
      <c r="B1" s="106"/>
      <c r="C1" s="106"/>
      <c r="D1" s="106"/>
      <c r="E1" s="106"/>
      <c r="F1" s="106"/>
      <c r="G1" s="144"/>
      <c r="H1" s="106"/>
      <c r="I1" s="106"/>
      <c r="J1" s="106"/>
      <c r="K1" s="106"/>
      <c r="L1" s="106"/>
      <c r="M1" s="109"/>
      <c r="N1" s="109"/>
      <c r="O1" s="109"/>
    </row>
    <row r="2" spans="1:16">
      <c r="A2" s="106"/>
      <c r="B2" s="106"/>
      <c r="C2" s="106"/>
      <c r="D2" s="106"/>
      <c r="E2" s="106"/>
      <c r="F2" s="106"/>
      <c r="G2" s="144"/>
      <c r="H2" s="106"/>
      <c r="I2" s="106"/>
      <c r="J2" s="106"/>
      <c r="K2" s="106"/>
      <c r="L2" s="106"/>
      <c r="M2" s="109"/>
      <c r="N2" s="109"/>
      <c r="O2" s="109"/>
    </row>
    <row r="3" spans="1:16" ht="20.25">
      <c r="A3" s="106"/>
      <c r="B3" s="367" t="s">
        <v>173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</row>
    <row r="4" spans="1:16">
      <c r="A4" s="106"/>
      <c r="B4" s="106"/>
      <c r="C4" s="106"/>
      <c r="D4" s="106"/>
      <c r="E4" s="106"/>
      <c r="F4" s="106"/>
      <c r="G4" s="144"/>
      <c r="H4" s="106"/>
      <c r="I4" s="106"/>
      <c r="J4" s="106"/>
      <c r="K4" s="106"/>
      <c r="L4" s="106"/>
      <c r="M4" s="109"/>
      <c r="N4" s="109"/>
      <c r="O4" s="109"/>
    </row>
    <row r="5" spans="1:16">
      <c r="A5" s="106"/>
      <c r="B5" s="106"/>
      <c r="C5" s="106"/>
      <c r="D5" s="106"/>
      <c r="E5" s="106"/>
      <c r="F5" s="106"/>
      <c r="G5" s="144"/>
      <c r="H5" s="106"/>
      <c r="I5" s="106"/>
      <c r="J5" s="106"/>
      <c r="K5" s="106"/>
      <c r="L5" s="106"/>
      <c r="M5" s="109"/>
      <c r="N5" s="109"/>
      <c r="O5" s="109"/>
    </row>
    <row r="6" spans="1:16">
      <c r="A6" s="140"/>
      <c r="B6" s="139" t="s">
        <v>0</v>
      </c>
      <c r="C6" s="139" t="s">
        <v>119</v>
      </c>
      <c r="D6" s="139" t="s">
        <v>110</v>
      </c>
      <c r="E6" s="139" t="s">
        <v>101</v>
      </c>
      <c r="F6" s="139" t="s">
        <v>90</v>
      </c>
      <c r="G6" s="173" t="s">
        <v>85</v>
      </c>
      <c r="H6" s="139" t="s">
        <v>77</v>
      </c>
      <c r="I6" s="139" t="s">
        <v>69</v>
      </c>
      <c r="J6" s="139" t="s">
        <v>61</v>
      </c>
      <c r="K6" s="139" t="s">
        <v>53</v>
      </c>
      <c r="L6" s="139" t="s">
        <v>44</v>
      </c>
      <c r="M6" s="139" t="s">
        <v>151</v>
      </c>
      <c r="N6" s="139" t="s">
        <v>31</v>
      </c>
      <c r="O6" s="139">
        <v>2022</v>
      </c>
    </row>
    <row r="7" spans="1:16">
      <c r="A7" s="111"/>
      <c r="B7" s="350" t="s">
        <v>127</v>
      </c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6">
      <c r="A8" s="111"/>
      <c r="B8" s="352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</row>
    <row r="9" spans="1:16">
      <c r="A9" s="111"/>
      <c r="B9" s="118" t="s">
        <v>120</v>
      </c>
      <c r="C9" s="178" t="s">
        <v>2</v>
      </c>
      <c r="D9" s="178" t="s">
        <v>2</v>
      </c>
      <c r="E9" s="17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  <c r="O9" s="118" t="s">
        <v>2</v>
      </c>
    </row>
    <row r="10" spans="1:16">
      <c r="A10" s="106"/>
      <c r="B10" s="136" t="s">
        <v>3</v>
      </c>
      <c r="C10" s="168">
        <f>1200206.08+8359.7</f>
        <v>1208565.78</v>
      </c>
      <c r="D10" s="168">
        <f>603897.27+8359.7</f>
        <v>612256.97</v>
      </c>
      <c r="E10" s="168">
        <v>607654.94999999995</v>
      </c>
      <c r="F10" s="168">
        <v>635941.19999999995</v>
      </c>
      <c r="G10" s="168">
        <v>597854.14</v>
      </c>
      <c r="H10" s="168">
        <v>595267.09</v>
      </c>
      <c r="I10" s="168">
        <v>727581.54</v>
      </c>
      <c r="J10" s="168">
        <v>524966.87</v>
      </c>
      <c r="K10" s="168">
        <v>535990.88</v>
      </c>
      <c r="L10" s="168">
        <v>636880.65</v>
      </c>
      <c r="M10" s="138">
        <v>358179.72</v>
      </c>
      <c r="N10" s="138">
        <f>467985.07+2546.27</f>
        <v>470531.34</v>
      </c>
      <c r="O10" s="138">
        <f t="shared" ref="O10:O20" si="0">SUM(C10:N10)</f>
        <v>7511671.1300000008</v>
      </c>
    </row>
    <row r="11" spans="1:16">
      <c r="A11" s="106"/>
      <c r="B11" s="136" t="s">
        <v>4</v>
      </c>
      <c r="C11" s="182">
        <v>789084.5</v>
      </c>
      <c r="D11" s="182">
        <v>389618.14</v>
      </c>
      <c r="E11" s="182">
        <v>386739.3</v>
      </c>
      <c r="F11" s="168">
        <v>404739.76</v>
      </c>
      <c r="G11" s="169">
        <v>380502.6</v>
      </c>
      <c r="H11" s="169">
        <v>378856.21</v>
      </c>
      <c r="I11" s="169">
        <v>463056.11</v>
      </c>
      <c r="J11" s="169">
        <v>487801.26</v>
      </c>
      <c r="K11" s="169">
        <v>189358.6</v>
      </c>
      <c r="L11" s="169">
        <v>405387.8</v>
      </c>
      <c r="M11" s="135">
        <v>227932.55</v>
      </c>
      <c r="N11" s="135">
        <v>452327.34</v>
      </c>
      <c r="O11" s="138">
        <f t="shared" si="0"/>
        <v>4955404.17</v>
      </c>
    </row>
    <row r="12" spans="1:16">
      <c r="A12" s="106"/>
      <c r="B12" s="114" t="s">
        <v>238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263303.75</v>
      </c>
      <c r="J12" s="171">
        <v>126693.92</v>
      </c>
      <c r="K12" s="171">
        <v>126693.92</v>
      </c>
      <c r="L12" s="170">
        <v>126693.92</v>
      </c>
      <c r="M12" s="115">
        <v>126693.92</v>
      </c>
      <c r="N12" s="115">
        <v>126693.92</v>
      </c>
      <c r="O12" s="138">
        <f t="shared" si="0"/>
        <v>2476595.8499999996</v>
      </c>
    </row>
    <row r="13" spans="1:16">
      <c r="A13" s="106"/>
      <c r="B13" s="114" t="s">
        <v>6</v>
      </c>
      <c r="C13" s="171">
        <f>481682.92-154472.93</f>
        <v>327209.99</v>
      </c>
      <c r="D13" s="171">
        <f>460999.72-285460.85</f>
        <v>175538.87</v>
      </c>
      <c r="E13" s="171">
        <v>681937.77</v>
      </c>
      <c r="F13" s="171">
        <v>404682.47</v>
      </c>
      <c r="G13" s="171">
        <v>676344.82</v>
      </c>
      <c r="H13" s="171">
        <v>421416.32</v>
      </c>
      <c r="I13" s="171">
        <v>-84090.74</v>
      </c>
      <c r="J13" s="171">
        <v>505838.52</v>
      </c>
      <c r="K13" s="171">
        <v>16001.38</v>
      </c>
      <c r="L13" s="171">
        <v>809918.94</v>
      </c>
      <c r="M13" s="115">
        <v>98226.79</v>
      </c>
      <c r="N13" s="115">
        <v>38967.99</v>
      </c>
      <c r="O13" s="138">
        <f t="shared" si="0"/>
        <v>4071993.1199999996</v>
      </c>
    </row>
    <row r="14" spans="1:16">
      <c r="A14" s="106"/>
      <c r="B14" s="114" t="s">
        <v>219</v>
      </c>
      <c r="C14" s="171">
        <v>57526.71</v>
      </c>
      <c r="D14" s="171">
        <v>57257.599999999999</v>
      </c>
      <c r="E14" s="171">
        <v>57441.41</v>
      </c>
      <c r="F14" s="171">
        <f>57964.94+57617.15</f>
        <v>115582.09</v>
      </c>
      <c r="G14" s="171">
        <v>0</v>
      </c>
      <c r="H14" s="171">
        <v>57607.77</v>
      </c>
      <c r="I14" s="171">
        <v>57349.7</v>
      </c>
      <c r="J14" s="171">
        <v>56759.4</v>
      </c>
      <c r="K14" s="171">
        <v>55805.13</v>
      </c>
      <c r="L14" s="171">
        <v>55252.6</v>
      </c>
      <c r="M14" s="115">
        <v>54884.88</v>
      </c>
      <c r="N14" s="115">
        <v>54487.12</v>
      </c>
      <c r="O14" s="138">
        <f t="shared" si="0"/>
        <v>679954.41</v>
      </c>
      <c r="P14" s="41"/>
    </row>
    <row r="15" spans="1:16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15">
        <v>23811.51</v>
      </c>
      <c r="O15" s="138">
        <f t="shared" si="0"/>
        <v>23811.51</v>
      </c>
      <c r="P15" s="184"/>
    </row>
    <row r="16" spans="1:16">
      <c r="A16" s="106"/>
      <c r="B16" s="114" t="s">
        <v>220</v>
      </c>
      <c r="C16" s="179">
        <v>13045.66</v>
      </c>
      <c r="D16" s="179">
        <v>12920.29</v>
      </c>
      <c r="E16" s="179">
        <v>12961.2</v>
      </c>
      <c r="F16" s="171">
        <v>12936.32</v>
      </c>
      <c r="G16" s="171">
        <v>12949.78</v>
      </c>
      <c r="H16" s="171">
        <v>12742.8</v>
      </c>
      <c r="I16" s="171">
        <v>12621.89</v>
      </c>
      <c r="J16" s="171">
        <v>12430.62</v>
      </c>
      <c r="K16" s="171">
        <v>12368.92</v>
      </c>
      <c r="L16" s="171">
        <v>11980.7</v>
      </c>
      <c r="M16" s="115">
        <v>11840.9</v>
      </c>
      <c r="N16" s="115">
        <v>11697.01</v>
      </c>
      <c r="O16" s="138">
        <f t="shared" si="0"/>
        <v>150496.09</v>
      </c>
    </row>
    <row r="17" spans="1:16">
      <c r="A17" s="106"/>
      <c r="B17" s="114" t="s">
        <v>221</v>
      </c>
      <c r="C17" s="179">
        <v>5438.79</v>
      </c>
      <c r="D17" s="179">
        <v>5386.52</v>
      </c>
      <c r="E17" s="179">
        <v>5403.56</v>
      </c>
      <c r="F17" s="171">
        <v>5393.18</v>
      </c>
      <c r="G17" s="171">
        <v>5398.8</v>
      </c>
      <c r="H17" s="171">
        <v>5312.52</v>
      </c>
      <c r="I17" s="171">
        <v>5262.12</v>
      </c>
      <c r="J17" s="171">
        <v>5182.37</v>
      </c>
      <c r="K17" s="171">
        <v>5156.6499999999996</v>
      </c>
      <c r="L17" s="171">
        <v>4994.8</v>
      </c>
      <c r="M17" s="115">
        <v>4936.5200000000004</v>
      </c>
      <c r="N17" s="115">
        <v>4876.53</v>
      </c>
      <c r="O17" s="138">
        <f t="shared" si="0"/>
        <v>62742.360000000015</v>
      </c>
    </row>
    <row r="18" spans="1:16">
      <c r="A18" s="106"/>
      <c r="B18" s="114" t="s">
        <v>222</v>
      </c>
      <c r="C18" s="179">
        <v>18632.310000000001</v>
      </c>
      <c r="D18" s="179">
        <v>18454</v>
      </c>
      <c r="E18" s="179">
        <v>18512.490000000002</v>
      </c>
      <c r="F18" s="171">
        <v>18476.41</v>
      </c>
      <c r="G18" s="171">
        <v>18497.71</v>
      </c>
      <c r="H18" s="171">
        <v>18201.28</v>
      </c>
      <c r="I18" s="171">
        <v>18028.2</v>
      </c>
      <c r="J18" s="171">
        <v>17753.55</v>
      </c>
      <c r="K18" s="171">
        <v>17665.8</v>
      </c>
      <c r="L18" s="171">
        <v>17111.64</v>
      </c>
      <c r="M18" s="115">
        <v>17026.22</v>
      </c>
      <c r="N18" s="115">
        <v>16706.07</v>
      </c>
      <c r="O18" s="138">
        <f t="shared" si="0"/>
        <v>215065.68000000002</v>
      </c>
    </row>
    <row r="19" spans="1:16">
      <c r="A19" s="106"/>
      <c r="B19" s="114" t="s">
        <v>178</v>
      </c>
      <c r="C19" s="179">
        <f>25918.64-C29</f>
        <v>22552.3</v>
      </c>
      <c r="D19" s="179">
        <f>12520.13-1429.51</f>
        <v>11090.619999999999</v>
      </c>
      <c r="E19" s="171">
        <v>7701.38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11242.71</v>
      </c>
      <c r="K19" s="171">
        <v>82684.009999999995</v>
      </c>
      <c r="L19" s="171">
        <v>11242.71</v>
      </c>
      <c r="M19" s="115">
        <v>0</v>
      </c>
      <c r="N19" s="115">
        <v>0</v>
      </c>
      <c r="O19" s="138">
        <f t="shared" si="0"/>
        <v>191484.56999999998</v>
      </c>
    </row>
    <row r="20" spans="1:16">
      <c r="A20" s="106"/>
      <c r="B20" s="114" t="s">
        <v>192</v>
      </c>
      <c r="C20" s="179">
        <v>3431.5</v>
      </c>
      <c r="D20" s="171">
        <v>6222.96</v>
      </c>
      <c r="E20" s="115">
        <v>0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1168.12+1943.36</f>
        <v>3111.4799999999996</v>
      </c>
      <c r="J20" s="171">
        <f>(1168.12*2)+(1943.36*2)</f>
        <v>6222.9599999999991</v>
      </c>
      <c r="K20" s="171">
        <v>0</v>
      </c>
      <c r="L20" s="171">
        <v>15557.47</v>
      </c>
      <c r="M20" s="115">
        <v>1168.1199999999999</v>
      </c>
      <c r="N20" s="115">
        <v>3231.48</v>
      </c>
      <c r="O20" s="138">
        <f t="shared" si="0"/>
        <v>48280.41</v>
      </c>
      <c r="P20" s="184"/>
    </row>
    <row r="21" spans="1:16">
      <c r="A21" s="111"/>
      <c r="B21" s="116" t="s">
        <v>9</v>
      </c>
      <c r="C21" s="117">
        <f t="shared" ref="C21:D21" si="1">SUM(C10:C20)</f>
        <v>2708791.2900000005</v>
      </c>
      <c r="D21" s="117">
        <f t="shared" si="1"/>
        <v>1552049.7200000002</v>
      </c>
      <c r="E21" s="117">
        <f t="shared" ref="E21" si="2">SUM(E10:E20)</f>
        <v>2041655.8099999998</v>
      </c>
      <c r="F21" s="117">
        <f t="shared" ref="F21:N21" si="3">SUM(F10:F20)</f>
        <v>1875409.3699999999</v>
      </c>
      <c r="G21" s="117">
        <f t="shared" si="3"/>
        <v>1969205.79</v>
      </c>
      <c r="H21" s="117">
        <f t="shared" si="3"/>
        <v>1767061.9300000002</v>
      </c>
      <c r="I21" s="117">
        <f t="shared" si="3"/>
        <v>1477466.7599999998</v>
      </c>
      <c r="J21" s="117">
        <f t="shared" si="3"/>
        <v>1754892.1800000002</v>
      </c>
      <c r="K21" s="117">
        <f t="shared" si="3"/>
        <v>1041725.2900000002</v>
      </c>
      <c r="L21" s="117">
        <f t="shared" si="3"/>
        <v>2095021.2299999997</v>
      </c>
      <c r="M21" s="117">
        <f t="shared" si="3"/>
        <v>900889.62000000011</v>
      </c>
      <c r="N21" s="117">
        <f t="shared" si="3"/>
        <v>1203330.3100000003</v>
      </c>
      <c r="O21" s="117">
        <f>SUM(O10:O20)</f>
        <v>20387499.300000001</v>
      </c>
      <c r="P21" s="41"/>
    </row>
    <row r="22" spans="1:16">
      <c r="A22" s="106"/>
      <c r="B22" s="106"/>
      <c r="C22" s="106"/>
      <c r="D22" s="106"/>
      <c r="E22" s="143"/>
      <c r="F22" s="106"/>
      <c r="G22" s="181"/>
      <c r="H22" s="106"/>
      <c r="I22" s="106"/>
      <c r="J22" s="106"/>
      <c r="K22" s="106"/>
      <c r="L22" s="106"/>
      <c r="M22" s="109"/>
      <c r="N22" s="109"/>
      <c r="O22" s="109"/>
    </row>
    <row r="23" spans="1:16">
      <c r="A23" s="111"/>
      <c r="B23" s="350" t="s">
        <v>128</v>
      </c>
      <c r="C23" s="351"/>
      <c r="D23" s="351"/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</row>
    <row r="24" spans="1:16">
      <c r="A24" s="106"/>
      <c r="B24" s="352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</row>
    <row r="25" spans="1:16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  <c r="O25" s="118" t="s">
        <v>2</v>
      </c>
    </row>
    <row r="26" spans="1:16">
      <c r="A26" s="106"/>
      <c r="B26" s="114" t="s">
        <v>207</v>
      </c>
      <c r="C26" s="171">
        <v>926869.39</v>
      </c>
      <c r="D26" s="171">
        <v>626353.94999999995</v>
      </c>
      <c r="E26" s="171">
        <v>628298.59</v>
      </c>
      <c r="F26" s="171">
        <v>621961.06000000006</v>
      </c>
      <c r="G26" s="179">
        <v>615746.06999999995</v>
      </c>
      <c r="H26" s="171">
        <v>617621.43000000005</v>
      </c>
      <c r="I26" s="179">
        <v>925293.45</v>
      </c>
      <c r="J26" s="179">
        <v>755023.19</v>
      </c>
      <c r="K26" s="179">
        <v>548127.35</v>
      </c>
      <c r="L26" s="179">
        <v>542075.24</v>
      </c>
      <c r="M26" s="189">
        <v>495470.49</v>
      </c>
      <c r="N26" s="115">
        <v>487626.13</v>
      </c>
      <c r="O26" s="115">
        <f>SUM(C26:N26)</f>
        <v>7790466.3399999989</v>
      </c>
      <c r="P26" s="184"/>
    </row>
    <row r="27" spans="1:16">
      <c r="A27" s="106"/>
      <c r="B27" s="114" t="s">
        <v>150</v>
      </c>
      <c r="C27" s="171">
        <v>105017.54</v>
      </c>
      <c r="D27" s="171">
        <v>66848.59</v>
      </c>
      <c r="E27" s="171">
        <v>66848.59</v>
      </c>
      <c r="F27" s="171">
        <v>66848.59</v>
      </c>
      <c r="G27" s="179">
        <v>69264.009999999995</v>
      </c>
      <c r="H27" s="171">
        <v>64433.17</v>
      </c>
      <c r="I27" s="179">
        <v>97154.79</v>
      </c>
      <c r="J27" s="179">
        <v>67044.08</v>
      </c>
      <c r="K27" s="179">
        <v>64945.72</v>
      </c>
      <c r="L27" s="179">
        <v>64945.72</v>
      </c>
      <c r="M27" s="189">
        <v>63584.02</v>
      </c>
      <c r="N27" s="115">
        <v>65481.06</v>
      </c>
      <c r="O27" s="115">
        <f>SUM(C27:N27)</f>
        <v>862415.87999999989</v>
      </c>
    </row>
    <row r="28" spans="1:16">
      <c r="A28" s="106"/>
      <c r="B28" s="114" t="s">
        <v>171</v>
      </c>
      <c r="C28" s="172">
        <v>63932.53</v>
      </c>
      <c r="D28" s="172">
        <v>37105.31</v>
      </c>
      <c r="E28" s="172">
        <v>37053.96</v>
      </c>
      <c r="F28" s="191">
        <v>37429.24</v>
      </c>
      <c r="G28" s="191">
        <v>36658.53</v>
      </c>
      <c r="H28" s="191">
        <v>38537.58</v>
      </c>
      <c r="I28" s="191">
        <v>46269.5</v>
      </c>
      <c r="J28" s="191">
        <v>40256.519999999997</v>
      </c>
      <c r="K28" s="191">
        <v>27034.39</v>
      </c>
      <c r="L28" s="191">
        <v>24052.01</v>
      </c>
      <c r="M28" s="190">
        <v>21886.080000000002</v>
      </c>
      <c r="N28" s="119">
        <v>17676.18</v>
      </c>
      <c r="O28" s="115">
        <f>SUM(C28:N28)</f>
        <v>427891.83</v>
      </c>
      <c r="P28" s="184"/>
    </row>
    <row r="29" spans="1:16">
      <c r="A29" s="106"/>
      <c r="B29" s="114" t="s">
        <v>193</v>
      </c>
      <c r="C29" s="171">
        <v>3366.34</v>
      </c>
      <c r="D29" s="171">
        <v>1683.17</v>
      </c>
      <c r="E29" s="171">
        <v>4818.75</v>
      </c>
      <c r="F29" s="171">
        <f>1531.08</f>
        <v>1531.08</v>
      </c>
      <c r="G29" s="179">
        <f>1531.08</f>
        <v>1531.08</v>
      </c>
      <c r="H29" s="179">
        <v>1277.42</v>
      </c>
      <c r="I29" s="179">
        <f>1531.08</f>
        <v>1531.08</v>
      </c>
      <c r="J29" s="179">
        <v>16262.03</v>
      </c>
      <c r="K29" s="179">
        <v>0</v>
      </c>
      <c r="L29" s="179">
        <v>0</v>
      </c>
      <c r="M29" s="189">
        <v>0</v>
      </c>
      <c r="N29" s="115">
        <v>0</v>
      </c>
      <c r="O29" s="115">
        <f>SUM(C29:N29)</f>
        <v>32000.95</v>
      </c>
      <c r="P29" s="184"/>
    </row>
    <row r="30" spans="1:16">
      <c r="A30" s="106"/>
      <c r="B30" s="114" t="s">
        <v>130</v>
      </c>
      <c r="C30" s="172">
        <v>102154.48</v>
      </c>
      <c r="D30" s="172">
        <f>797045.22-D26-D27-D28-D29</f>
        <v>65054.200000000026</v>
      </c>
      <c r="E30" s="172">
        <f>779493.31-E26-E27-E28-E29</f>
        <v>42473.420000000093</v>
      </c>
      <c r="F30" s="172">
        <v>45044</v>
      </c>
      <c r="G30" s="191">
        <v>76149.100000000006</v>
      </c>
      <c r="H30" s="172">
        <v>46552.78</v>
      </c>
      <c r="I30" s="191">
        <v>89171.65</v>
      </c>
      <c r="J30" s="191">
        <v>37362.04</v>
      </c>
      <c r="K30" s="191">
        <v>55560.09</v>
      </c>
      <c r="L30" s="191">
        <v>22252.83</v>
      </c>
      <c r="M30" s="190">
        <v>14595.13</v>
      </c>
      <c r="N30" s="119">
        <v>7086.12</v>
      </c>
      <c r="O30" s="115">
        <f>SUM(C30:N30)</f>
        <v>603455.84000000008</v>
      </c>
      <c r="P30" s="184"/>
    </row>
    <row r="31" spans="1:16">
      <c r="A31" s="111"/>
      <c r="B31" s="120" t="s">
        <v>84</v>
      </c>
      <c r="C31" s="121">
        <f t="shared" ref="C31" si="4">SUM(C26:C30)</f>
        <v>1201340.28</v>
      </c>
      <c r="D31" s="121">
        <f t="shared" ref="D31:E31" si="5">SUM(D26:D30)</f>
        <v>797045.22</v>
      </c>
      <c r="E31" s="121">
        <f t="shared" si="5"/>
        <v>779493.30999999994</v>
      </c>
      <c r="F31" s="121">
        <f t="shared" ref="F31:N31" si="6">SUM(F26:F30)</f>
        <v>772813.97</v>
      </c>
      <c r="G31" s="121">
        <f t="shared" si="6"/>
        <v>799348.78999999992</v>
      </c>
      <c r="H31" s="121">
        <f t="shared" si="6"/>
        <v>768422.38000000012</v>
      </c>
      <c r="I31" s="121">
        <f t="shared" si="6"/>
        <v>1159420.47</v>
      </c>
      <c r="J31" s="121">
        <f t="shared" si="6"/>
        <v>915947.86</v>
      </c>
      <c r="K31" s="121">
        <f t="shared" si="6"/>
        <v>695667.54999999993</v>
      </c>
      <c r="L31" s="121">
        <f t="shared" si="6"/>
        <v>653325.79999999993</v>
      </c>
      <c r="M31" s="121">
        <f t="shared" si="6"/>
        <v>595535.72</v>
      </c>
      <c r="N31" s="121">
        <f t="shared" si="6"/>
        <v>577869.49</v>
      </c>
      <c r="O31" s="121">
        <f>SUM(O26:O30)</f>
        <v>9716230.839999998</v>
      </c>
      <c r="P31" s="185"/>
    </row>
    <row r="32" spans="1:16">
      <c r="A32" s="111"/>
      <c r="B32" s="163" t="s">
        <v>14</v>
      </c>
      <c r="C32" s="164">
        <f t="shared" ref="C32" si="7">C21-C31</f>
        <v>1507451.0100000005</v>
      </c>
      <c r="D32" s="164">
        <f t="shared" ref="D32:N32" si="8">D21-D31</f>
        <v>755004.50000000023</v>
      </c>
      <c r="E32" s="164">
        <f t="shared" si="8"/>
        <v>1262162.5</v>
      </c>
      <c r="F32" s="164">
        <f t="shared" si="8"/>
        <v>1102595.3999999999</v>
      </c>
      <c r="G32" s="164">
        <f t="shared" si="8"/>
        <v>1169857</v>
      </c>
      <c r="H32" s="164">
        <f t="shared" si="8"/>
        <v>998639.55</v>
      </c>
      <c r="I32" s="164">
        <f t="shared" si="8"/>
        <v>318046.2899999998</v>
      </c>
      <c r="J32" s="164">
        <f t="shared" si="8"/>
        <v>838944.32000000018</v>
      </c>
      <c r="K32" s="164">
        <f t="shared" si="8"/>
        <v>346057.74000000022</v>
      </c>
      <c r="L32" s="164">
        <f t="shared" si="8"/>
        <v>1441695.4299999997</v>
      </c>
      <c r="M32" s="164">
        <f t="shared" si="8"/>
        <v>305353.90000000014</v>
      </c>
      <c r="N32" s="164">
        <f t="shared" si="8"/>
        <v>625460.8200000003</v>
      </c>
      <c r="O32" s="159">
        <f>O21-O31</f>
        <v>10671268.460000003</v>
      </c>
      <c r="P32" s="184"/>
    </row>
    <row r="33" spans="1:16" s="188" customFormat="1">
      <c r="A33" s="186"/>
      <c r="B33" s="186"/>
      <c r="C33" s="186"/>
      <c r="D33" s="186"/>
      <c r="E33" s="186"/>
      <c r="F33" s="187"/>
      <c r="G33" s="187"/>
      <c r="H33" s="187"/>
      <c r="I33" s="187"/>
      <c r="J33" s="187"/>
      <c r="K33" s="187"/>
      <c r="L33" s="187"/>
      <c r="M33" s="187"/>
      <c r="N33" s="187"/>
      <c r="O33" s="186"/>
    </row>
    <row r="34" spans="1:16">
      <c r="A34" s="111"/>
      <c r="B34" s="362" t="s">
        <v>15</v>
      </c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4"/>
      <c r="P34" s="41"/>
    </row>
    <row r="35" spans="1:16">
      <c r="A35" s="111"/>
      <c r="B35" s="350" t="s">
        <v>16</v>
      </c>
      <c r="C35" s="351"/>
      <c r="D35" s="351"/>
      <c r="E35" s="351"/>
      <c r="F35" s="351"/>
      <c r="G35" s="351"/>
      <c r="H35" s="351"/>
      <c r="I35" s="351"/>
      <c r="J35" s="351"/>
      <c r="K35" s="351"/>
      <c r="L35" s="351"/>
      <c r="M35" s="351"/>
      <c r="N35" s="351"/>
      <c r="O35" s="365"/>
    </row>
    <row r="36" spans="1:16">
      <c r="A36" s="106"/>
      <c r="B36" s="352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66"/>
    </row>
    <row r="37" spans="1:16">
      <c r="A37" s="106"/>
      <c r="B37" s="153" t="s">
        <v>17</v>
      </c>
      <c r="C37" s="165"/>
      <c r="D37" s="165"/>
      <c r="E37" s="165"/>
      <c r="F37" s="165"/>
      <c r="G37" s="174"/>
      <c r="H37" s="165"/>
      <c r="I37" s="165"/>
      <c r="J37" s="165"/>
      <c r="K37" s="165"/>
      <c r="L37" s="165"/>
      <c r="M37" s="154"/>
      <c r="N37" s="154"/>
      <c r="O37" s="130" t="s">
        <v>2</v>
      </c>
    </row>
    <row r="38" spans="1:16">
      <c r="A38" s="106"/>
      <c r="B38" s="136" t="s">
        <v>180</v>
      </c>
      <c r="C38" s="183"/>
      <c r="D38" s="183"/>
      <c r="E38" s="166"/>
      <c r="F38" s="166"/>
      <c r="G38" s="175"/>
      <c r="H38" s="166"/>
      <c r="I38" s="166"/>
      <c r="J38" s="166"/>
      <c r="K38" s="166"/>
      <c r="L38" s="166"/>
      <c r="M38" s="155"/>
      <c r="N38" s="155"/>
      <c r="O38" s="161">
        <v>878.38</v>
      </c>
    </row>
    <row r="39" spans="1:16">
      <c r="A39" s="106"/>
      <c r="B39" s="136" t="s">
        <v>181</v>
      </c>
      <c r="C39" s="166"/>
      <c r="D39" s="166"/>
      <c r="E39" s="166"/>
      <c r="F39" s="166"/>
      <c r="G39" s="175"/>
      <c r="H39" s="166"/>
      <c r="I39" s="166"/>
      <c r="J39" s="166"/>
      <c r="K39" s="166"/>
      <c r="L39" s="166"/>
      <c r="M39" s="155"/>
      <c r="N39" s="155"/>
      <c r="O39" s="161">
        <v>0</v>
      </c>
    </row>
    <row r="40" spans="1:16">
      <c r="A40" s="106"/>
      <c r="B40" s="136" t="s">
        <v>132</v>
      </c>
      <c r="C40" s="166"/>
      <c r="D40" s="166"/>
      <c r="E40" s="166"/>
      <c r="F40" s="166"/>
      <c r="G40" s="175"/>
      <c r="H40" s="166"/>
      <c r="I40" s="166"/>
      <c r="J40" s="166"/>
      <c r="K40" s="166"/>
      <c r="L40" s="166"/>
      <c r="M40" s="155"/>
      <c r="N40" s="155"/>
      <c r="O40" s="161">
        <v>0</v>
      </c>
    </row>
    <row r="41" spans="1:16">
      <c r="A41" s="106"/>
      <c r="B41" s="136" t="s">
        <v>208</v>
      </c>
      <c r="C41" s="166"/>
      <c r="D41" s="166"/>
      <c r="E41" s="166"/>
      <c r="F41" s="166"/>
      <c r="G41" s="175"/>
      <c r="H41" s="166"/>
      <c r="I41" s="166"/>
      <c r="J41" s="166"/>
      <c r="K41" s="166"/>
      <c r="L41" s="166"/>
      <c r="M41" s="155"/>
      <c r="N41" s="155"/>
      <c r="O41" s="161">
        <v>0</v>
      </c>
    </row>
    <row r="42" spans="1:16">
      <c r="A42" s="106"/>
      <c r="B42" s="136" t="s">
        <v>20</v>
      </c>
      <c r="C42" s="166"/>
      <c r="D42" s="166"/>
      <c r="E42" s="166"/>
      <c r="F42" s="166"/>
      <c r="G42" s="175"/>
      <c r="H42" s="166"/>
      <c r="I42" s="166"/>
      <c r="J42" s="166"/>
      <c r="K42" s="166"/>
      <c r="L42" s="166"/>
      <c r="M42" s="155"/>
      <c r="N42" s="155"/>
      <c r="O42" s="161">
        <v>327635.3</v>
      </c>
      <c r="P42" s="41"/>
    </row>
    <row r="43" spans="1:16">
      <c r="A43" s="106"/>
      <c r="B43" s="136" t="s">
        <v>21</v>
      </c>
      <c r="C43" s="166"/>
      <c r="D43" s="166"/>
      <c r="E43" s="166"/>
      <c r="F43" s="166"/>
      <c r="G43" s="175"/>
      <c r="H43" s="166"/>
      <c r="I43" s="166"/>
      <c r="J43" s="166"/>
      <c r="K43" s="166"/>
      <c r="L43" s="166"/>
      <c r="M43" s="155"/>
      <c r="N43" s="155"/>
      <c r="O43" s="161">
        <v>820.57</v>
      </c>
    </row>
    <row r="44" spans="1:16">
      <c r="A44" s="106"/>
      <c r="B44" s="136" t="s">
        <v>22</v>
      </c>
      <c r="C44" s="166"/>
      <c r="D44" s="166"/>
      <c r="E44" s="166"/>
      <c r="F44" s="166"/>
      <c r="G44" s="175"/>
      <c r="H44" s="166"/>
      <c r="I44" s="166"/>
      <c r="J44" s="166"/>
      <c r="K44" s="166"/>
      <c r="L44" s="166"/>
      <c r="M44" s="155"/>
      <c r="N44" s="155"/>
      <c r="O44" s="161">
        <v>494.81</v>
      </c>
    </row>
    <row r="45" spans="1:16">
      <c r="A45" s="106"/>
      <c r="B45" s="153" t="s">
        <v>23</v>
      </c>
      <c r="C45" s="165"/>
      <c r="D45" s="165"/>
      <c r="E45" s="165"/>
      <c r="F45" s="165"/>
      <c r="G45" s="174"/>
      <c r="H45" s="165"/>
      <c r="I45" s="165"/>
      <c r="J45" s="165"/>
      <c r="K45" s="165"/>
      <c r="L45" s="165"/>
      <c r="M45" s="154"/>
      <c r="N45" s="154"/>
      <c r="O45" s="160">
        <f>SUM(O38:O44)</f>
        <v>329829.06</v>
      </c>
    </row>
    <row r="46" spans="1:16">
      <c r="A46" s="106"/>
      <c r="B46" s="157"/>
      <c r="C46" s="106"/>
      <c r="D46" s="106"/>
      <c r="E46" s="106"/>
      <c r="F46" s="106"/>
      <c r="G46" s="144"/>
      <c r="H46" s="106"/>
      <c r="I46" s="106"/>
      <c r="J46" s="106"/>
      <c r="K46" s="106"/>
      <c r="L46" s="106"/>
      <c r="M46" s="150"/>
      <c r="N46" s="150"/>
      <c r="O46" s="150"/>
    </row>
    <row r="47" spans="1:16">
      <c r="A47" s="106"/>
      <c r="B47" s="153" t="s">
        <v>24</v>
      </c>
      <c r="C47" s="165"/>
      <c r="D47" s="165"/>
      <c r="E47" s="165"/>
      <c r="F47" s="165"/>
      <c r="G47" s="174"/>
      <c r="H47" s="165"/>
      <c r="I47" s="165"/>
      <c r="J47" s="165"/>
      <c r="K47" s="165"/>
      <c r="L47" s="165"/>
      <c r="M47" s="154"/>
      <c r="N47" s="154"/>
      <c r="O47" s="130" t="s">
        <v>2</v>
      </c>
    </row>
    <row r="48" spans="1:16">
      <c r="A48" s="106"/>
      <c r="B48" s="136" t="s">
        <v>200</v>
      </c>
      <c r="C48" s="166"/>
      <c r="D48" s="166"/>
      <c r="E48" s="166"/>
      <c r="F48" s="166"/>
      <c r="G48" s="175"/>
      <c r="H48" s="166"/>
      <c r="I48" s="166"/>
      <c r="J48" s="166"/>
      <c r="K48" s="166"/>
      <c r="L48" s="166"/>
      <c r="M48" s="155"/>
      <c r="N48" s="155"/>
      <c r="O48" s="161">
        <v>10256929.58</v>
      </c>
    </row>
    <row r="49" spans="1:15">
      <c r="A49" s="106"/>
      <c r="B49" s="136" t="s">
        <v>206</v>
      </c>
      <c r="C49" s="166"/>
      <c r="D49" s="166"/>
      <c r="E49" s="166"/>
      <c r="F49" s="166"/>
      <c r="G49" s="175"/>
      <c r="H49" s="166"/>
      <c r="I49" s="166"/>
      <c r="J49" s="166"/>
      <c r="K49" s="166"/>
      <c r="L49" s="166"/>
      <c r="M49" s="155"/>
      <c r="N49" s="155"/>
      <c r="O49" s="161">
        <v>9923831.7599999998</v>
      </c>
    </row>
    <row r="50" spans="1:15">
      <c r="A50" s="106"/>
      <c r="B50" s="136" t="s">
        <v>25</v>
      </c>
      <c r="C50" s="166"/>
      <c r="D50" s="166"/>
      <c r="E50" s="166"/>
      <c r="F50" s="166"/>
      <c r="G50" s="175"/>
      <c r="H50" s="166"/>
      <c r="I50" s="166"/>
      <c r="J50" s="166"/>
      <c r="K50" s="166"/>
      <c r="L50" s="166"/>
      <c r="M50" s="155"/>
      <c r="N50" s="155"/>
      <c r="O50" s="161">
        <f>1328100.14+8026547.58+3125450.82+2131796.99+1683384.78+1154752.44+3558780.67+3027673.14+396929.9+368189.79+1122514.73+419793.45+272443.09+1275455.31</f>
        <v>27891812.829999998</v>
      </c>
    </row>
    <row r="51" spans="1:15">
      <c r="B51" s="136" t="s">
        <v>26</v>
      </c>
      <c r="C51" s="166"/>
      <c r="D51" s="166"/>
      <c r="E51" s="166"/>
      <c r="F51" s="166"/>
      <c r="G51" s="175"/>
      <c r="H51" s="166"/>
      <c r="I51" s="166"/>
      <c r="J51" s="166"/>
      <c r="K51" s="166"/>
      <c r="L51" s="166"/>
      <c r="M51" s="155"/>
      <c r="N51" s="155"/>
      <c r="O51" s="161">
        <f>6201772.04+894157.39+1518356.48+64658.36+900601.37+439077.35</f>
        <v>10018622.989999998</v>
      </c>
    </row>
    <row r="52" spans="1:15">
      <c r="B52" s="136" t="s">
        <v>131</v>
      </c>
      <c r="C52" s="166"/>
      <c r="D52" s="166"/>
      <c r="E52" s="166"/>
      <c r="F52" s="166"/>
      <c r="G52" s="175"/>
      <c r="H52" s="166"/>
      <c r="I52" s="166"/>
      <c r="J52" s="166"/>
      <c r="K52" s="166"/>
      <c r="L52" s="166"/>
      <c r="M52" s="155"/>
      <c r="N52" s="155"/>
      <c r="O52" s="161">
        <v>248252.2</v>
      </c>
    </row>
    <row r="53" spans="1:15">
      <c r="B53" s="153" t="s">
        <v>28</v>
      </c>
      <c r="C53" s="165"/>
      <c r="D53" s="165"/>
      <c r="E53" s="165"/>
      <c r="F53" s="165"/>
      <c r="G53" s="174"/>
      <c r="H53" s="165"/>
      <c r="I53" s="165"/>
      <c r="J53" s="165"/>
      <c r="K53" s="165"/>
      <c r="L53" s="165"/>
      <c r="M53" s="154"/>
      <c r="N53" s="154"/>
      <c r="O53" s="160">
        <f>SUM(O48:O52)</f>
        <v>58339449.359999999</v>
      </c>
    </row>
    <row r="54" spans="1:15">
      <c r="B54" s="158"/>
      <c r="C54" s="131"/>
      <c r="D54" s="131"/>
      <c r="E54" s="131"/>
      <c r="F54" s="131"/>
      <c r="G54" s="176"/>
      <c r="H54" s="131"/>
      <c r="I54" s="131"/>
      <c r="J54" s="131"/>
      <c r="K54" s="131"/>
      <c r="L54" s="131"/>
      <c r="M54" s="132"/>
      <c r="N54" s="132"/>
      <c r="O54" s="155"/>
    </row>
    <row r="55" spans="1:15">
      <c r="B55" s="133" t="s">
        <v>29</v>
      </c>
      <c r="C55" s="167"/>
      <c r="D55" s="167"/>
      <c r="E55" s="167"/>
      <c r="F55" s="167"/>
      <c r="G55" s="177"/>
      <c r="H55" s="167"/>
      <c r="I55" s="167"/>
      <c r="J55" s="167"/>
      <c r="K55" s="167"/>
      <c r="L55" s="167"/>
      <c r="M55" s="156"/>
      <c r="N55" s="156"/>
      <c r="O55" s="162">
        <f>O53+O45</f>
        <v>58669278.420000002</v>
      </c>
    </row>
    <row r="56" spans="1:15">
      <c r="B56" s="106"/>
      <c r="C56" s="106"/>
      <c r="D56" s="106"/>
      <c r="E56" s="106"/>
      <c r="F56" s="106"/>
      <c r="G56" s="147"/>
      <c r="H56" s="106"/>
      <c r="I56" s="106"/>
      <c r="J56" s="106"/>
      <c r="K56" s="106"/>
      <c r="L56" s="106"/>
      <c r="M56" s="109"/>
      <c r="N56" s="109"/>
      <c r="O56" s="109"/>
    </row>
    <row r="57" spans="1:15">
      <c r="B57" s="106"/>
      <c r="C57" s="106"/>
      <c r="D57" s="106"/>
      <c r="E57" s="106"/>
      <c r="F57" s="106"/>
      <c r="G57" s="147"/>
      <c r="H57" s="106"/>
      <c r="I57" s="106"/>
      <c r="J57" s="106"/>
      <c r="K57" s="106"/>
      <c r="L57" s="106"/>
      <c r="M57" s="109"/>
      <c r="N57" s="109"/>
      <c r="O57" s="109"/>
    </row>
    <row r="58" spans="1:15">
      <c r="B58" s="106"/>
      <c r="C58" s="106"/>
      <c r="D58" s="106"/>
      <c r="E58" s="106"/>
      <c r="F58" s="106"/>
      <c r="G58" s="147"/>
      <c r="H58" s="106"/>
      <c r="I58" s="106"/>
      <c r="J58" s="106"/>
      <c r="K58" s="106"/>
      <c r="L58" s="106"/>
      <c r="M58" s="109"/>
      <c r="N58" s="109"/>
      <c r="O58" s="109"/>
    </row>
    <row r="59" spans="1:15">
      <c r="B59" s="106"/>
      <c r="C59" s="106"/>
      <c r="D59" s="106"/>
      <c r="E59" s="106"/>
      <c r="F59" s="106"/>
      <c r="G59" s="147"/>
      <c r="H59" s="106"/>
      <c r="I59" s="106"/>
      <c r="J59" s="106"/>
      <c r="K59" s="106"/>
      <c r="L59" s="106"/>
      <c r="M59" s="109"/>
      <c r="N59" s="109"/>
      <c r="O59" s="109"/>
    </row>
    <row r="60" spans="1:15">
      <c r="B60" s="106"/>
      <c r="C60" s="106"/>
      <c r="D60" s="106"/>
      <c r="E60" s="106"/>
      <c r="F60" s="106"/>
      <c r="G60" s="147"/>
      <c r="H60" s="106"/>
      <c r="I60" s="106"/>
      <c r="J60" s="106"/>
      <c r="K60" s="106"/>
      <c r="L60" s="106"/>
      <c r="M60" s="109"/>
      <c r="N60" s="109"/>
      <c r="O60" s="109"/>
    </row>
    <row r="61" spans="1:15">
      <c r="B61" s="106"/>
      <c r="C61" s="106"/>
      <c r="D61" s="106"/>
      <c r="E61" s="106"/>
      <c r="F61" s="106"/>
      <c r="G61" s="144"/>
      <c r="H61" s="106"/>
      <c r="I61" s="106"/>
      <c r="J61" s="106"/>
      <c r="K61" s="106"/>
      <c r="L61" s="106"/>
      <c r="M61" s="106"/>
      <c r="N61" s="106"/>
    </row>
    <row r="62" spans="1:15">
      <c r="B62" s="106"/>
      <c r="C62" s="106"/>
      <c r="D62" s="106"/>
      <c r="E62" s="106"/>
      <c r="F62" s="106"/>
      <c r="G62" s="144"/>
      <c r="H62" s="106"/>
      <c r="I62" s="106"/>
      <c r="J62" s="106"/>
      <c r="K62" s="106"/>
      <c r="L62" s="106"/>
      <c r="M62" s="106"/>
      <c r="N62" s="106"/>
    </row>
    <row r="63" spans="1:15">
      <c r="B63" s="106"/>
      <c r="C63" s="106"/>
      <c r="D63" s="106"/>
      <c r="E63" s="106"/>
      <c r="F63" s="106"/>
      <c r="G63" s="144"/>
      <c r="H63" s="106"/>
      <c r="I63" s="106"/>
      <c r="J63" s="106"/>
      <c r="K63" s="106"/>
      <c r="L63" s="106"/>
      <c r="M63" s="106"/>
      <c r="N63" s="106"/>
    </row>
  </sheetData>
  <mergeCells count="5">
    <mergeCell ref="B3:O3"/>
    <mergeCell ref="B7:O8"/>
    <mergeCell ref="B23:O24"/>
    <mergeCell ref="B34:O34"/>
    <mergeCell ref="B35:O36"/>
  </mergeCells>
  <pageMargins left="0.511811024" right="0.511811024" top="0.78740157499999996" bottom="0.78740157499999996" header="0.31496062000000002" footer="0.31496062000000002"/>
  <pageSetup paperSize="9" scale="4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T67"/>
  <sheetViews>
    <sheetView topLeftCell="A28" workbookViewId="0">
      <selection activeCell="B12" sqref="B12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8554687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>
      <c r="A6" s="140"/>
      <c r="B6" s="139" t="s">
        <v>0</v>
      </c>
      <c r="C6" s="139" t="s">
        <v>31</v>
      </c>
      <c r="D6" s="139">
        <v>2023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>
      <c r="A7" s="111"/>
      <c r="B7" s="350" t="s">
        <v>127</v>
      </c>
      <c r="C7" s="351"/>
      <c r="D7" s="351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>
      <c r="A8" s="111"/>
      <c r="B8" s="352"/>
      <c r="C8" s="353"/>
      <c r="D8" s="353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>
      <c r="A10" s="106"/>
      <c r="B10" s="136" t="s">
        <v>3</v>
      </c>
      <c r="C10" s="138">
        <f>596496.7+8359.7</f>
        <v>604856.39999999991</v>
      </c>
      <c r="D10" s="138">
        <f>C10</f>
        <v>604856.39999999991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>
      <c r="A11" s="106"/>
      <c r="B11" s="114" t="s">
        <v>4</v>
      </c>
      <c r="C11" s="135">
        <v>364738.73</v>
      </c>
      <c r="D11" s="138">
        <f t="shared" ref="D11:D19" si="0">C11</f>
        <v>364738.73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>
      <c r="A12" s="106"/>
      <c r="B12" s="194" t="s">
        <v>5</v>
      </c>
      <c r="C12" s="115">
        <v>263303.75</v>
      </c>
      <c r="D12" s="138">
        <f t="shared" si="0"/>
        <v>263303.75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>
      <c r="A13" s="106"/>
      <c r="B13" s="114" t="s">
        <v>6</v>
      </c>
      <c r="C13" s="115">
        <f>632576.86-25105.62</f>
        <v>607471.24</v>
      </c>
      <c r="D13" s="138">
        <f t="shared" si="0"/>
        <v>607471.24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>
      <c r="A14" s="106"/>
      <c r="B14" s="114" t="s">
        <v>227</v>
      </c>
      <c r="C14" s="189">
        <v>57745.31</v>
      </c>
      <c r="D14" s="138">
        <f t="shared" si="0"/>
        <v>57745.31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>
      <c r="A15" s="106"/>
      <c r="B15" s="114" t="s">
        <v>223</v>
      </c>
      <c r="C15" s="189">
        <v>13251.74</v>
      </c>
      <c r="D15" s="138">
        <f t="shared" si="0"/>
        <v>13251.74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>
      <c r="A16" s="106"/>
      <c r="B16" s="114" t="s">
        <v>224</v>
      </c>
      <c r="C16" s="189">
        <v>5524.7</v>
      </c>
      <c r="D16" s="138">
        <f t="shared" si="0"/>
        <v>5524.7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>
      <c r="A17" s="106"/>
      <c r="B17" s="114" t="s">
        <v>225</v>
      </c>
      <c r="C17" s="189">
        <v>18926.32</v>
      </c>
      <c r="D17" s="138">
        <f t="shared" si="0"/>
        <v>18926.32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>
      <c r="A18" s="106"/>
      <c r="B18" s="114" t="s">
        <v>7</v>
      </c>
      <c r="C18" s="189">
        <v>313284.2</v>
      </c>
      <c r="D18" s="138">
        <f t="shared" si="0"/>
        <v>313284.2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>
      <c r="A19" s="106"/>
      <c r="B19" s="114" t="s">
        <v>149</v>
      </c>
      <c r="C19" s="189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s="112" customFormat="1">
      <c r="A20" s="111"/>
      <c r="B20" s="116" t="s">
        <v>9</v>
      </c>
      <c r="C20" s="117">
        <f>SUM(C10:C19)</f>
        <v>2249102.39</v>
      </c>
      <c r="D20" s="117">
        <f>SUM(D10:D19)</f>
        <v>2249102.39</v>
      </c>
      <c r="E20" s="111"/>
      <c r="F20" s="146"/>
      <c r="G20" s="151"/>
      <c r="H20" s="15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spans="1:20">
      <c r="A21" s="106"/>
      <c r="B21" s="106"/>
      <c r="C21" s="109"/>
      <c r="D21" s="109"/>
      <c r="E21" s="106"/>
      <c r="F21" s="147" t="s">
        <v>118</v>
      </c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0" s="112" customFormat="1">
      <c r="A22" s="111"/>
      <c r="B22" s="350" t="s">
        <v>128</v>
      </c>
      <c r="C22" s="351"/>
      <c r="D22" s="351"/>
      <c r="E22" s="111"/>
      <c r="F22" s="146"/>
      <c r="G22" s="151"/>
      <c r="H22" s="15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spans="1:20">
      <c r="A23" s="106"/>
      <c r="B23" s="352"/>
      <c r="C23" s="353"/>
      <c r="D23" s="353"/>
      <c r="E23" s="106"/>
      <c r="F23" s="147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</row>
    <row r="24" spans="1:20">
      <c r="A24" s="106"/>
      <c r="B24" s="118" t="s">
        <v>121</v>
      </c>
      <c r="C24" s="118" t="s">
        <v>2</v>
      </c>
      <c r="D24" s="118" t="s">
        <v>2</v>
      </c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>
      <c r="A25" s="106"/>
      <c r="B25" s="114" t="s">
        <v>199</v>
      </c>
      <c r="C25" s="115">
        <v>628352.19999999995</v>
      </c>
      <c r="D25" s="115">
        <f>C25</f>
        <v>628352.19999999995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>
      <c r="A26" s="106"/>
      <c r="B26" s="114" t="s">
        <v>228</v>
      </c>
      <c r="C26" s="115">
        <v>72215.28</v>
      </c>
      <c r="D26" s="115">
        <f t="shared" ref="D26:D29" si="1">C26</f>
        <v>72215.28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>
      <c r="A27" s="106"/>
      <c r="B27" s="114" t="s">
        <v>171</v>
      </c>
      <c r="C27" s="119">
        <v>31403.3</v>
      </c>
      <c r="D27" s="115">
        <f t="shared" si="1"/>
        <v>31403.3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>
      <c r="A28" s="106"/>
      <c r="B28" s="114" t="s">
        <v>13</v>
      </c>
      <c r="C28" s="115">
        <v>1683.17</v>
      </c>
      <c r="D28" s="115">
        <f t="shared" si="1"/>
        <v>1683.17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>
      <c r="A29" s="106"/>
      <c r="B29" s="114" t="s">
        <v>130</v>
      </c>
      <c r="C29" s="119">
        <f>30236.81-7394.6</f>
        <v>22842.21</v>
      </c>
      <c r="D29" s="115">
        <f t="shared" si="1"/>
        <v>22842.21</v>
      </c>
      <c r="E29" s="106"/>
      <c r="F29" s="147"/>
      <c r="G29" s="152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s="112" customFormat="1">
      <c r="A30" s="111"/>
      <c r="B30" s="120" t="s">
        <v>84</v>
      </c>
      <c r="C30" s="121">
        <f>SUM(C25:C29)</f>
        <v>756496.16</v>
      </c>
      <c r="D30" s="121">
        <f>SUM(D25:D29)</f>
        <v>756496.16</v>
      </c>
      <c r="E30" s="111"/>
      <c r="F30" s="146"/>
      <c r="G30" s="151"/>
      <c r="H30" s="15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s="112" customFormat="1">
      <c r="A31" s="111"/>
      <c r="B31" s="123" t="s">
        <v>14</v>
      </c>
      <c r="C31" s="124">
        <f>C20-C30</f>
        <v>1492606.23</v>
      </c>
      <c r="D31" s="124">
        <f>D20-D30</f>
        <v>1492606.23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>
      <c r="A32" s="106"/>
      <c r="B32" s="106"/>
      <c r="C32" s="109"/>
      <c r="D32" s="109"/>
      <c r="E32" s="106"/>
      <c r="F32" s="147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</row>
    <row r="33" spans="1:20" s="112" customFormat="1">
      <c r="A33" s="111"/>
      <c r="B33" s="356" t="s">
        <v>15</v>
      </c>
      <c r="C33" s="357"/>
      <c r="D33" s="357"/>
      <c r="E33" s="111"/>
      <c r="F33" s="146"/>
      <c r="G33" s="151"/>
      <c r="H33" s="15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 s="112" customFormat="1">
      <c r="A34" s="111"/>
      <c r="B34" s="350" t="s">
        <v>16</v>
      </c>
      <c r="C34" s="351"/>
      <c r="D34" s="351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>
      <c r="A35" s="106"/>
      <c r="B35" s="352"/>
      <c r="C35" s="353"/>
      <c r="D35" s="353"/>
      <c r="E35" s="106"/>
      <c r="F35" s="14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</row>
    <row r="36" spans="1:20">
      <c r="A36" s="106"/>
      <c r="B36" s="127" t="s">
        <v>17</v>
      </c>
      <c r="C36" s="360" t="s">
        <v>2</v>
      </c>
      <c r="D36" s="361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>
      <c r="A37" s="106"/>
      <c r="B37" s="114" t="s">
        <v>18</v>
      </c>
      <c r="C37" s="370">
        <v>0</v>
      </c>
      <c r="D37" s="371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>
      <c r="A38" s="106"/>
      <c r="B38" s="114" t="s">
        <v>19</v>
      </c>
      <c r="C38" s="370">
        <v>0</v>
      </c>
      <c r="D38" s="371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>
      <c r="A39" s="106"/>
      <c r="B39" s="114" t="s">
        <v>231</v>
      </c>
      <c r="C39" s="370">
        <v>0</v>
      </c>
      <c r="D39" s="371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>
      <c r="A40" s="106"/>
      <c r="B40" s="114" t="s">
        <v>230</v>
      </c>
      <c r="C40" s="370">
        <v>0</v>
      </c>
      <c r="D40" s="371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>
      <c r="A41" s="106"/>
      <c r="B41" s="114" t="s">
        <v>229</v>
      </c>
      <c r="C41" s="370">
        <v>0</v>
      </c>
      <c r="D41" s="371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>
      <c r="A42" s="106"/>
      <c r="B42" s="114" t="s">
        <v>20</v>
      </c>
      <c r="C42" s="370">
        <v>95491.5</v>
      </c>
      <c r="D42" s="371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>
      <c r="A43" s="106"/>
      <c r="B43" s="114" t="s">
        <v>21</v>
      </c>
      <c r="C43" s="370">
        <v>19326.66</v>
      </c>
      <c r="D43" s="371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>
      <c r="A44" s="106"/>
      <c r="B44" s="114" t="s">
        <v>22</v>
      </c>
      <c r="C44" s="370">
        <v>439.81</v>
      </c>
      <c r="D44" s="371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>
      <c r="A45" s="106"/>
      <c r="B45" s="118" t="s">
        <v>23</v>
      </c>
      <c r="C45" s="372">
        <f>SUM(C37:C44)</f>
        <v>115257.97</v>
      </c>
      <c r="D45" s="373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>
      <c r="A46" s="106"/>
      <c r="B46" s="106"/>
      <c r="C46" s="150"/>
      <c r="D46" s="150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>
      <c r="A47" s="106"/>
      <c r="B47" s="118" t="s">
        <v>24</v>
      </c>
      <c r="C47" s="358" t="s">
        <v>2</v>
      </c>
      <c r="D47" s="359"/>
      <c r="E47" s="106"/>
      <c r="F47" s="147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</row>
    <row r="48" spans="1:20">
      <c r="A48" s="106"/>
      <c r="B48" s="114" t="s">
        <v>25</v>
      </c>
      <c r="C48" s="370">
        <v>28985289.43</v>
      </c>
      <c r="D48" s="371"/>
      <c r="F48" s="193"/>
    </row>
    <row r="49" spans="2:6">
      <c r="B49" s="114" t="s">
        <v>26</v>
      </c>
      <c r="C49" s="370">
        <f>6586406.43+906999.54+1518196.89+65186.49+910506.71+453729.11</f>
        <v>10441025.169999998</v>
      </c>
      <c r="D49" s="371"/>
    </row>
    <row r="50" spans="2:6">
      <c r="B50" s="114" t="s">
        <v>200</v>
      </c>
      <c r="C50" s="370">
        <v>10377828.01</v>
      </c>
      <c r="D50" s="371"/>
    </row>
    <row r="51" spans="2:6">
      <c r="B51" s="114" t="s">
        <v>206</v>
      </c>
      <c r="C51" s="370">
        <v>10041033.1</v>
      </c>
      <c r="D51" s="371"/>
    </row>
    <row r="52" spans="2:6">
      <c r="B52" s="114" t="s">
        <v>131</v>
      </c>
      <c r="C52" s="370">
        <v>248626.38</v>
      </c>
      <c r="D52" s="371"/>
    </row>
    <row r="53" spans="2:6">
      <c r="B53" s="118" t="s">
        <v>28</v>
      </c>
      <c r="C53" s="346">
        <f>SUM(C48:D52)</f>
        <v>60093802.089999996</v>
      </c>
      <c r="D53" s="347"/>
    </row>
    <row r="54" spans="2:6">
      <c r="B54" s="131"/>
      <c r="C54" s="132"/>
      <c r="D54" s="132"/>
    </row>
    <row r="55" spans="2:6">
      <c r="B55" s="125" t="s">
        <v>29</v>
      </c>
      <c r="C55" s="368">
        <f>C53+C45</f>
        <v>60209060.059999995</v>
      </c>
      <c r="D55" s="369"/>
    </row>
    <row r="56" spans="2:6" ht="16.5" thickBot="1">
      <c r="B56" s="106"/>
      <c r="C56" s="109"/>
      <c r="D56" s="109"/>
      <c r="F56" s="192"/>
    </row>
    <row r="57" spans="2:6" ht="16.5" thickBot="1">
      <c r="B57" s="195" t="s">
        <v>226</v>
      </c>
      <c r="C57" s="196"/>
      <c r="D57" s="197"/>
      <c r="F57" s="192"/>
    </row>
    <row r="58" spans="2:6">
      <c r="B58" s="106"/>
      <c r="C58" s="109"/>
      <c r="D58" s="109"/>
      <c r="F58" s="192"/>
    </row>
    <row r="59" spans="2:6">
      <c r="B59" s="106"/>
      <c r="C59" s="109"/>
      <c r="D59" s="109"/>
      <c r="F59" s="192"/>
    </row>
    <row r="60" spans="2:6">
      <c r="B60" s="106"/>
      <c r="C60" s="109"/>
      <c r="D60" s="109"/>
      <c r="F60" s="192"/>
    </row>
    <row r="61" spans="2:6">
      <c r="B61" s="106"/>
      <c r="C61" s="106"/>
      <c r="F61" s="192"/>
    </row>
    <row r="62" spans="2:6">
      <c r="B62" s="106"/>
      <c r="C62" s="106"/>
      <c r="F62" s="192"/>
    </row>
    <row r="63" spans="2:6">
      <c r="B63" s="339"/>
      <c r="C63" s="339"/>
      <c r="F63" s="192"/>
    </row>
    <row r="64" spans="2:6" ht="15.75" customHeight="1">
      <c r="F64" s="192"/>
    </row>
    <row r="65" spans="6:6" ht="15.75" customHeight="1">
      <c r="F65" s="192"/>
    </row>
    <row r="66" spans="6:6" ht="15.75" customHeight="1">
      <c r="F66" s="192"/>
    </row>
    <row r="67" spans="6:6" ht="15.75" customHeight="1">
      <c r="F67" s="192"/>
    </row>
  </sheetData>
  <mergeCells count="23">
    <mergeCell ref="C37:D37"/>
    <mergeCell ref="B7:D8"/>
    <mergeCell ref="B22:D23"/>
    <mergeCell ref="B33:D33"/>
    <mergeCell ref="B34:D35"/>
    <mergeCell ref="C36:D36"/>
    <mergeCell ref="C38:D38"/>
    <mergeCell ref="C39:D39"/>
    <mergeCell ref="C42:D42"/>
    <mergeCell ref="C43:D43"/>
    <mergeCell ref="C44:D44"/>
    <mergeCell ref="C55:D55"/>
    <mergeCell ref="B63:C63"/>
    <mergeCell ref="C40:D40"/>
    <mergeCell ref="C41:D41"/>
    <mergeCell ref="C50:D50"/>
    <mergeCell ref="C47:D47"/>
    <mergeCell ref="C48:D48"/>
    <mergeCell ref="C49:D49"/>
    <mergeCell ref="C51:D51"/>
    <mergeCell ref="C52:D52"/>
    <mergeCell ref="C53:D53"/>
    <mergeCell ref="C45:D45"/>
  </mergeCells>
  <pageMargins left="0.511811024" right="0.511811024" top="0.78740157499999996" bottom="0.78740157499999996" header="0.31496062000000002" footer="0.31496062000000002"/>
  <pageSetup paperSize="9" scale="3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65"/>
  <sheetViews>
    <sheetView topLeftCell="A10" workbookViewId="0">
      <selection activeCell="E31" sqref="E31"/>
    </sheetView>
  </sheetViews>
  <sheetFormatPr defaultRowHeight="15.75"/>
  <cols>
    <col min="1" max="1" width="2.5703125" style="108" customWidth="1"/>
    <col min="2" max="2" width="59.7109375" style="108" customWidth="1"/>
    <col min="3" max="3" width="20.7109375" style="108" customWidth="1"/>
    <col min="4" max="5" width="20" style="108" bestFit="1" customWidth="1"/>
    <col min="8" max="8" width="15.85546875" customWidth="1"/>
  </cols>
  <sheetData>
    <row r="1" spans="1:5">
      <c r="A1" s="106" t="s">
        <v>118</v>
      </c>
      <c r="B1" s="106"/>
      <c r="C1" s="106"/>
      <c r="D1" s="109"/>
      <c r="E1" s="109"/>
    </row>
    <row r="2" spans="1:5">
      <c r="A2" s="106"/>
      <c r="B2" s="106"/>
      <c r="C2" s="106"/>
      <c r="D2" s="109"/>
      <c r="E2" s="109"/>
    </row>
    <row r="3" spans="1:5">
      <c r="A3" s="106"/>
      <c r="B3" s="106"/>
      <c r="C3" s="106"/>
      <c r="D3" s="109"/>
      <c r="E3" s="109"/>
    </row>
    <row r="4" spans="1:5">
      <c r="A4" s="106"/>
      <c r="B4" s="106"/>
      <c r="C4" s="106"/>
      <c r="D4" s="109"/>
      <c r="E4" s="109"/>
    </row>
    <row r="5" spans="1:5">
      <c r="A5" s="106"/>
      <c r="B5" s="106"/>
      <c r="C5" s="106"/>
      <c r="D5" s="109"/>
      <c r="E5" s="109"/>
    </row>
    <row r="6" spans="1:5">
      <c r="A6" s="140"/>
      <c r="B6" s="139" t="s">
        <v>0</v>
      </c>
      <c r="C6" s="139" t="s">
        <v>151</v>
      </c>
      <c r="D6" s="139" t="s">
        <v>31</v>
      </c>
      <c r="E6" s="139">
        <v>2023</v>
      </c>
    </row>
    <row r="7" spans="1:5">
      <c r="A7" s="111"/>
      <c r="B7" s="350" t="s">
        <v>127</v>
      </c>
      <c r="C7" s="351"/>
      <c r="D7" s="351"/>
      <c r="E7" s="351"/>
    </row>
    <row r="8" spans="1:5">
      <c r="A8" s="111"/>
      <c r="B8" s="352"/>
      <c r="C8" s="353"/>
      <c r="D8" s="353"/>
      <c r="E8" s="353"/>
    </row>
    <row r="9" spans="1:5">
      <c r="A9" s="111"/>
      <c r="B9" s="118" t="s">
        <v>120</v>
      </c>
      <c r="C9" s="178" t="s">
        <v>2</v>
      </c>
      <c r="D9" s="118" t="s">
        <v>2</v>
      </c>
      <c r="E9" s="118" t="s">
        <v>2</v>
      </c>
    </row>
    <row r="10" spans="1:5">
      <c r="A10" s="106"/>
      <c r="B10" s="136" t="s">
        <v>3</v>
      </c>
      <c r="C10" s="138">
        <f>480832.95+8378.97</f>
        <v>489211.92</v>
      </c>
      <c r="D10" s="201">
        <f>596496.7+8359.7</f>
        <v>604856.39999999991</v>
      </c>
      <c r="E10" s="138">
        <f>SUM(C10:D10)</f>
        <v>1094068.3199999998</v>
      </c>
    </row>
    <row r="11" spans="1:5">
      <c r="A11" s="106"/>
      <c r="B11" s="114" t="s">
        <v>4</v>
      </c>
      <c r="C11" s="138">
        <v>294643.45</v>
      </c>
      <c r="D11" s="202">
        <v>364738.73</v>
      </c>
      <c r="E11" s="138">
        <f t="shared" ref="E11:E19" si="0">SUM(C11:D11)</f>
        <v>659382.17999999993</v>
      </c>
    </row>
    <row r="12" spans="1:5">
      <c r="A12" s="106"/>
      <c r="B12" s="194" t="s">
        <v>148</v>
      </c>
      <c r="C12" s="138">
        <v>263303.75</v>
      </c>
      <c r="D12" s="198">
        <v>263303.75</v>
      </c>
      <c r="E12" s="138">
        <f t="shared" si="0"/>
        <v>526607.5</v>
      </c>
    </row>
    <row r="13" spans="1:5">
      <c r="A13" s="106"/>
      <c r="B13" s="114" t="s">
        <v>6</v>
      </c>
      <c r="C13" s="138">
        <v>409631.92</v>
      </c>
      <c r="D13" s="198">
        <f>632576.86-25105.62</f>
        <v>607471.24</v>
      </c>
      <c r="E13" s="138">
        <f t="shared" si="0"/>
        <v>1017103.1599999999</v>
      </c>
    </row>
    <row r="14" spans="1:5">
      <c r="A14" s="106"/>
      <c r="B14" s="114" t="s">
        <v>235</v>
      </c>
      <c r="C14" s="204">
        <v>58143.75</v>
      </c>
      <c r="D14" s="199">
        <v>57745.31</v>
      </c>
      <c r="E14" s="138">
        <f t="shared" si="0"/>
        <v>115889.06</v>
      </c>
    </row>
    <row r="15" spans="1:5">
      <c r="A15" s="106"/>
      <c r="B15" s="114" t="s">
        <v>232</v>
      </c>
      <c r="C15" s="204">
        <v>13318.11</v>
      </c>
      <c r="D15" s="199">
        <v>13251.74</v>
      </c>
      <c r="E15" s="138">
        <f t="shared" si="0"/>
        <v>26569.85</v>
      </c>
    </row>
    <row r="16" spans="1:5">
      <c r="A16" s="106"/>
      <c r="B16" s="114" t="s">
        <v>234</v>
      </c>
      <c r="C16" s="204">
        <v>5552.37</v>
      </c>
      <c r="D16" s="199">
        <v>5524.7</v>
      </c>
      <c r="E16" s="138">
        <f t="shared" si="0"/>
        <v>11077.07</v>
      </c>
    </row>
    <row r="17" spans="1:8">
      <c r="A17" s="106"/>
      <c r="B17" s="114" t="s">
        <v>233</v>
      </c>
      <c r="C17" s="204">
        <v>19021.29</v>
      </c>
      <c r="D17" s="199">
        <v>18926.32</v>
      </c>
      <c r="E17" s="138">
        <f t="shared" si="0"/>
        <v>37947.61</v>
      </c>
    </row>
    <row r="18" spans="1:8">
      <c r="A18" s="106"/>
      <c r="B18" s="114" t="s">
        <v>7</v>
      </c>
      <c r="C18" s="204">
        <v>13497.43</v>
      </c>
      <c r="D18" s="199">
        <v>313284.2</v>
      </c>
      <c r="E18" s="138">
        <f t="shared" si="0"/>
        <v>326781.63</v>
      </c>
    </row>
    <row r="19" spans="1:8">
      <c r="A19" s="106"/>
      <c r="B19" s="114" t="s">
        <v>149</v>
      </c>
      <c r="C19" s="204">
        <v>0</v>
      </c>
      <c r="D19" s="199">
        <v>0</v>
      </c>
      <c r="E19" s="138">
        <f t="shared" si="0"/>
        <v>0</v>
      </c>
      <c r="H19" s="184"/>
    </row>
    <row r="20" spans="1:8">
      <c r="A20" s="111"/>
      <c r="B20" s="116" t="s">
        <v>9</v>
      </c>
      <c r="C20" s="203">
        <f>SUM(C10:C19)</f>
        <v>1566323.9900000002</v>
      </c>
      <c r="D20" s="117">
        <f>SUM(D10:D19)</f>
        <v>2249102.39</v>
      </c>
      <c r="E20" s="117">
        <f>SUM(E10:E19)</f>
        <v>3815426.38</v>
      </c>
    </row>
    <row r="21" spans="1:8">
      <c r="A21" s="106"/>
      <c r="B21" s="106"/>
      <c r="C21" s="106"/>
      <c r="D21" s="109"/>
      <c r="E21" s="109"/>
    </row>
    <row r="22" spans="1:8">
      <c r="A22" s="111"/>
      <c r="B22" s="350" t="s">
        <v>128</v>
      </c>
      <c r="C22" s="351"/>
      <c r="D22" s="351"/>
      <c r="E22" s="351"/>
    </row>
    <row r="23" spans="1:8">
      <c r="A23" s="106"/>
      <c r="B23" s="352"/>
      <c r="C23" s="353"/>
      <c r="D23" s="353"/>
      <c r="E23" s="353"/>
    </row>
    <row r="24" spans="1:8">
      <c r="A24" s="106"/>
      <c r="B24" s="118" t="s">
        <v>121</v>
      </c>
      <c r="C24" s="118" t="s">
        <v>2</v>
      </c>
      <c r="D24" s="118" t="s">
        <v>2</v>
      </c>
      <c r="E24" s="118" t="s">
        <v>2</v>
      </c>
    </row>
    <row r="25" spans="1:8">
      <c r="A25" s="106"/>
      <c r="B25" s="114" t="s">
        <v>199</v>
      </c>
      <c r="C25" s="115">
        <v>623073.82999999996</v>
      </c>
      <c r="D25" s="115">
        <v>628352.19999999995</v>
      </c>
      <c r="E25" s="115">
        <f>SUM(C25:D25)</f>
        <v>1251426.0299999998</v>
      </c>
    </row>
    <row r="26" spans="1:8">
      <c r="A26" s="106"/>
      <c r="B26" s="114" t="s">
        <v>228</v>
      </c>
      <c r="C26" s="115">
        <v>71877.13</v>
      </c>
      <c r="D26" s="115">
        <v>72215.28</v>
      </c>
      <c r="E26" s="115">
        <f t="shared" ref="E26:E29" si="1">SUM(C26:D26)</f>
        <v>144092.41</v>
      </c>
    </row>
    <row r="27" spans="1:8">
      <c r="A27" s="106"/>
      <c r="B27" s="114" t="s">
        <v>171</v>
      </c>
      <c r="C27" s="119">
        <v>38036.89</v>
      </c>
      <c r="D27" s="119">
        <v>31403.3</v>
      </c>
      <c r="E27" s="115">
        <f t="shared" si="1"/>
        <v>69440.19</v>
      </c>
    </row>
    <row r="28" spans="1:8">
      <c r="A28" s="106"/>
      <c r="B28" s="114" t="s">
        <v>13</v>
      </c>
      <c r="C28" s="115">
        <v>1683.17</v>
      </c>
      <c r="D28" s="115">
        <v>1683.17</v>
      </c>
      <c r="E28" s="115">
        <f t="shared" si="1"/>
        <v>3366.34</v>
      </c>
    </row>
    <row r="29" spans="1:8">
      <c r="A29" s="106"/>
      <c r="B29" s="114" t="s">
        <v>130</v>
      </c>
      <c r="C29" s="119">
        <v>36903.89</v>
      </c>
      <c r="D29" s="119">
        <f>30236.81-7394.6</f>
        <v>22842.21</v>
      </c>
      <c r="E29" s="115">
        <f t="shared" si="1"/>
        <v>59746.1</v>
      </c>
    </row>
    <row r="30" spans="1:8">
      <c r="A30" s="111"/>
      <c r="B30" s="120" t="s">
        <v>84</v>
      </c>
      <c r="C30" s="121">
        <f>SUM(C25:C29)</f>
        <v>771574.91</v>
      </c>
      <c r="D30" s="121">
        <f>SUM(D25:D29)</f>
        <v>756496.16</v>
      </c>
      <c r="E30" s="121">
        <f>SUM(E25:E29)</f>
        <v>1528071.0699999998</v>
      </c>
      <c r="H30" s="188"/>
    </row>
    <row r="31" spans="1:8">
      <c r="A31" s="111"/>
      <c r="B31" s="123" t="s">
        <v>14</v>
      </c>
      <c r="C31" s="124">
        <f>C20-C30</f>
        <v>794749.08000000019</v>
      </c>
      <c r="D31" s="124">
        <f>D20-D30</f>
        <v>1492606.23</v>
      </c>
      <c r="E31" s="124">
        <f>E20-E30</f>
        <v>2287355.31</v>
      </c>
      <c r="H31" s="205"/>
    </row>
    <row r="32" spans="1:8">
      <c r="A32" s="106"/>
      <c r="B32" s="106"/>
      <c r="C32" s="106"/>
      <c r="D32" s="109"/>
      <c r="E32" s="109"/>
    </row>
    <row r="33" spans="1:5">
      <c r="A33" s="111"/>
      <c r="B33" s="356" t="s">
        <v>15</v>
      </c>
      <c r="C33" s="357"/>
      <c r="D33" s="357"/>
      <c r="E33" s="357"/>
    </row>
    <row r="34" spans="1:5">
      <c r="A34" s="111"/>
      <c r="B34" s="350" t="s">
        <v>16</v>
      </c>
      <c r="C34" s="351"/>
      <c r="D34" s="351"/>
      <c r="E34" s="351"/>
    </row>
    <row r="35" spans="1:5">
      <c r="A35" s="106"/>
      <c r="B35" s="352"/>
      <c r="C35" s="353"/>
      <c r="D35" s="353"/>
      <c r="E35" s="353"/>
    </row>
    <row r="36" spans="1:5">
      <c r="A36" s="106"/>
      <c r="B36" s="127" t="s">
        <v>17</v>
      </c>
      <c r="C36" s="207"/>
      <c r="D36" s="360" t="s">
        <v>2</v>
      </c>
      <c r="E36" s="361"/>
    </row>
    <row r="37" spans="1:5">
      <c r="A37" s="106"/>
      <c r="B37" s="114" t="s">
        <v>18</v>
      </c>
      <c r="C37" s="136"/>
      <c r="D37" s="370">
        <v>0</v>
      </c>
      <c r="E37" s="371"/>
    </row>
    <row r="38" spans="1:5">
      <c r="A38" s="106"/>
      <c r="B38" s="114" t="s">
        <v>19</v>
      </c>
      <c r="C38" s="136"/>
      <c r="D38" s="370">
        <v>0</v>
      </c>
      <c r="E38" s="371"/>
    </row>
    <row r="39" spans="1:5">
      <c r="A39" s="106"/>
      <c r="B39" s="114" t="s">
        <v>231</v>
      </c>
      <c r="C39" s="136"/>
      <c r="D39" s="370">
        <v>0</v>
      </c>
      <c r="E39" s="371"/>
    </row>
    <row r="40" spans="1:5">
      <c r="A40" s="106"/>
      <c r="B40" s="114" t="s">
        <v>230</v>
      </c>
      <c r="C40" s="136"/>
      <c r="D40" s="370">
        <v>0.15</v>
      </c>
      <c r="E40" s="371"/>
    </row>
    <row r="41" spans="1:5">
      <c r="A41" s="106"/>
      <c r="B41" s="114" t="s">
        <v>229</v>
      </c>
      <c r="C41" s="136"/>
      <c r="D41" s="370">
        <v>0.01</v>
      </c>
      <c r="E41" s="371"/>
    </row>
    <row r="42" spans="1:5">
      <c r="A42" s="106"/>
      <c r="B42" s="114" t="s">
        <v>20</v>
      </c>
      <c r="C42" s="136"/>
      <c r="D42" s="370">
        <v>8791.76</v>
      </c>
      <c r="E42" s="371"/>
    </row>
    <row r="43" spans="1:5">
      <c r="A43" s="106"/>
      <c r="B43" s="114" t="s">
        <v>21</v>
      </c>
      <c r="C43" s="136"/>
      <c r="D43" s="370">
        <v>23551.05</v>
      </c>
      <c r="E43" s="371"/>
    </row>
    <row r="44" spans="1:5">
      <c r="A44" s="106"/>
      <c r="B44" s="114" t="s">
        <v>22</v>
      </c>
      <c r="C44" s="136"/>
      <c r="D44" s="370">
        <v>384.81</v>
      </c>
      <c r="E44" s="371"/>
    </row>
    <row r="45" spans="1:5">
      <c r="A45" s="106"/>
      <c r="B45" s="118" t="s">
        <v>23</v>
      </c>
      <c r="C45" s="153"/>
      <c r="D45" s="372">
        <f>SUM(D37:D44)</f>
        <v>32727.780000000002</v>
      </c>
      <c r="E45" s="373"/>
    </row>
    <row r="46" spans="1:5">
      <c r="A46" s="106"/>
      <c r="B46" s="106"/>
      <c r="C46" s="106"/>
      <c r="D46" s="150"/>
      <c r="E46" s="150"/>
    </row>
    <row r="47" spans="1:5">
      <c r="A47" s="106"/>
      <c r="B47" s="118" t="s">
        <v>24</v>
      </c>
      <c r="C47" s="153"/>
      <c r="D47" s="358" t="s">
        <v>2</v>
      </c>
      <c r="E47" s="359"/>
    </row>
    <row r="48" spans="1:5">
      <c r="A48" s="106"/>
      <c r="B48" s="114" t="s">
        <v>25</v>
      </c>
      <c r="C48" s="136"/>
      <c r="D48" s="370">
        <f>1353352.91+5707626.32+4453713.66+2157891.64+3061931.9+358116.63+1081314.88+441200.8+1300068.26</f>
        <v>19915217.000000004</v>
      </c>
      <c r="E48" s="371"/>
    </row>
    <row r="49" spans="2:5">
      <c r="B49" s="114" t="s">
        <v>26</v>
      </c>
      <c r="C49" s="136"/>
      <c r="D49" s="370">
        <f>7094778.34+920516.31+1537437.61+65722.24+918689.31</f>
        <v>10537143.810000001</v>
      </c>
      <c r="E49" s="371"/>
    </row>
    <row r="50" spans="2:5">
      <c r="B50" s="114" t="s">
        <v>200</v>
      </c>
      <c r="C50" s="136"/>
      <c r="D50" s="370">
        <v>10180377.67</v>
      </c>
      <c r="E50" s="371"/>
    </row>
    <row r="51" spans="2:5">
      <c r="B51" s="114" t="s">
        <v>206</v>
      </c>
      <c r="C51" s="136"/>
      <c r="D51" s="370">
        <v>10136847.119999999</v>
      </c>
      <c r="E51" s="371"/>
    </row>
    <row r="52" spans="2:5">
      <c r="B52" s="114" t="s">
        <v>236</v>
      </c>
      <c r="C52" s="136"/>
      <c r="D52" s="199"/>
      <c r="E52" s="200">
        <v>5015630.93</v>
      </c>
    </row>
    <row r="53" spans="2:5">
      <c r="B53" s="114" t="s">
        <v>237</v>
      </c>
      <c r="C53" s="136"/>
      <c r="D53" s="199"/>
      <c r="E53" s="200">
        <v>5014848.91</v>
      </c>
    </row>
    <row r="54" spans="2:5">
      <c r="B54" s="114" t="s">
        <v>131</v>
      </c>
      <c r="C54" s="136"/>
      <c r="D54" s="370">
        <v>246611.46</v>
      </c>
      <c r="E54" s="371"/>
    </row>
    <row r="55" spans="2:5">
      <c r="B55" s="118" t="s">
        <v>28</v>
      </c>
      <c r="C55" s="153"/>
      <c r="D55" s="346">
        <f>SUM(D48:E54)</f>
        <v>61046676.899999999</v>
      </c>
      <c r="E55" s="347"/>
    </row>
    <row r="56" spans="2:5">
      <c r="B56" s="131"/>
      <c r="C56" s="131"/>
      <c r="D56" s="132"/>
      <c r="E56" s="132"/>
    </row>
    <row r="57" spans="2:5">
      <c r="B57" s="125" t="s">
        <v>29</v>
      </c>
      <c r="C57" s="125"/>
      <c r="D57" s="368">
        <f>D55+D45</f>
        <v>61079404.68</v>
      </c>
      <c r="E57" s="369"/>
    </row>
    <row r="58" spans="2:5" ht="16.5" thickBot="1">
      <c r="B58" s="106"/>
      <c r="C58" s="106"/>
      <c r="D58" s="109"/>
      <c r="E58" s="109"/>
    </row>
    <row r="59" spans="2:5" ht="16.5" thickBot="1">
      <c r="B59" s="195" t="s">
        <v>226</v>
      </c>
      <c r="C59" s="208"/>
      <c r="D59" s="196"/>
      <c r="E59" s="197"/>
    </row>
    <row r="60" spans="2:5">
      <c r="B60" s="106"/>
      <c r="C60" s="106"/>
      <c r="D60" s="109"/>
      <c r="E60" s="109"/>
    </row>
    <row r="61" spans="2:5">
      <c r="B61" s="106"/>
      <c r="C61" s="106"/>
      <c r="D61" s="109"/>
      <c r="E61" s="109"/>
    </row>
    <row r="62" spans="2:5">
      <c r="B62" s="106"/>
      <c r="C62" s="106"/>
      <c r="D62" s="109"/>
      <c r="E62" s="109"/>
    </row>
    <row r="63" spans="2:5">
      <c r="B63" s="106"/>
      <c r="C63" s="106"/>
      <c r="D63" s="106"/>
    </row>
    <row r="64" spans="2:5">
      <c r="B64" s="106"/>
      <c r="C64" s="106"/>
      <c r="D64" s="106"/>
    </row>
    <row r="65" spans="2:4">
      <c r="B65" s="339"/>
      <c r="C65" s="339"/>
      <c r="D65" s="339"/>
    </row>
  </sheetData>
  <mergeCells count="23">
    <mergeCell ref="D51:E51"/>
    <mergeCell ref="D54:E54"/>
    <mergeCell ref="D55:E55"/>
    <mergeCell ref="D57:E57"/>
    <mergeCell ref="B65:D65"/>
    <mergeCell ref="D50:E50"/>
    <mergeCell ref="D38:E38"/>
    <mergeCell ref="D39:E39"/>
    <mergeCell ref="D40:E40"/>
    <mergeCell ref="D41:E41"/>
    <mergeCell ref="D42:E42"/>
    <mergeCell ref="D43:E43"/>
    <mergeCell ref="D44:E44"/>
    <mergeCell ref="D45:E45"/>
    <mergeCell ref="D47:E47"/>
    <mergeCell ref="D48:E48"/>
    <mergeCell ref="D49:E49"/>
    <mergeCell ref="D37:E37"/>
    <mergeCell ref="B7:E8"/>
    <mergeCell ref="B22:E23"/>
    <mergeCell ref="B33:E33"/>
    <mergeCell ref="B34:E35"/>
    <mergeCell ref="D36:E36"/>
  </mergeCells>
  <pageMargins left="0.25" right="0.25" top="0.75" bottom="0.75" header="0.3" footer="0.3"/>
  <pageSetup paperSize="9" scale="73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65"/>
  <sheetViews>
    <sheetView showGridLines="0" topLeftCell="A28" workbookViewId="0">
      <selection activeCell="D31" sqref="D31"/>
    </sheetView>
  </sheetViews>
  <sheetFormatPr defaultRowHeight="15.75"/>
  <cols>
    <col min="1" max="1" width="2.5703125" style="108" customWidth="1"/>
    <col min="2" max="2" width="59.7109375" style="108" customWidth="1"/>
    <col min="3" max="3" width="21.140625" style="108" customWidth="1"/>
    <col min="4" max="4" width="20" style="108" customWidth="1"/>
    <col min="5" max="5" width="20" style="108" bestFit="1" customWidth="1"/>
    <col min="6" max="6" width="18.7109375" style="108" bestFit="1" customWidth="1"/>
    <col min="8" max="8" width="51.85546875" customWidth="1"/>
  </cols>
  <sheetData>
    <row r="1" spans="1:6">
      <c r="A1" s="106" t="s">
        <v>118</v>
      </c>
      <c r="B1" s="106"/>
      <c r="C1" s="106"/>
      <c r="D1" s="109"/>
      <c r="E1" s="109"/>
      <c r="F1" s="109"/>
    </row>
    <row r="2" spans="1:6">
      <c r="A2" s="106"/>
      <c r="B2" s="106"/>
      <c r="C2" s="106"/>
      <c r="D2" s="109"/>
      <c r="E2" s="109"/>
      <c r="F2" s="109"/>
    </row>
    <row r="3" spans="1:6">
      <c r="A3" s="106"/>
      <c r="B3" s="106"/>
      <c r="C3" s="106"/>
      <c r="D3" s="109"/>
      <c r="E3" s="109"/>
      <c r="F3" s="109"/>
    </row>
    <row r="4" spans="1:6">
      <c r="A4" s="106"/>
      <c r="B4" s="106"/>
      <c r="C4" s="106"/>
      <c r="D4" s="109"/>
      <c r="E4" s="109"/>
      <c r="F4" s="109"/>
    </row>
    <row r="5" spans="1:6">
      <c r="A5" s="106"/>
      <c r="B5" s="106"/>
      <c r="C5" s="106"/>
      <c r="D5" s="109"/>
      <c r="E5" s="109"/>
      <c r="F5" s="109"/>
    </row>
    <row r="6" spans="1:6">
      <c r="A6" s="140"/>
      <c r="B6" s="139" t="s">
        <v>0</v>
      </c>
      <c r="C6" s="139" t="s">
        <v>44</v>
      </c>
      <c r="D6" s="139" t="s">
        <v>151</v>
      </c>
      <c r="E6" s="139" t="s">
        <v>31</v>
      </c>
      <c r="F6" s="139">
        <v>2023</v>
      </c>
    </row>
    <row r="7" spans="1:6">
      <c r="A7" s="111"/>
      <c r="B7" s="350" t="s">
        <v>127</v>
      </c>
      <c r="C7" s="351"/>
      <c r="D7" s="351"/>
      <c r="E7" s="351"/>
      <c r="F7" s="351"/>
    </row>
    <row r="8" spans="1:6">
      <c r="A8" s="111"/>
      <c r="B8" s="352"/>
      <c r="C8" s="353"/>
      <c r="D8" s="353"/>
      <c r="E8" s="353"/>
      <c r="F8" s="353"/>
    </row>
    <row r="9" spans="1:6">
      <c r="A9" s="111"/>
      <c r="B9" s="118" t="s">
        <v>120</v>
      </c>
      <c r="C9" s="178" t="s">
        <v>2</v>
      </c>
      <c r="D9" s="178" t="s">
        <v>2</v>
      </c>
      <c r="E9" s="118" t="s">
        <v>2</v>
      </c>
      <c r="F9" s="118" t="s">
        <v>2</v>
      </c>
    </row>
    <row r="10" spans="1:6">
      <c r="A10" s="106"/>
      <c r="B10" s="136" t="s">
        <v>3</v>
      </c>
      <c r="C10" s="204">
        <f>780898.41+5940.42</f>
        <v>786838.83000000007</v>
      </c>
      <c r="D10" s="138">
        <f>480832.95+8378.97</f>
        <v>489211.92</v>
      </c>
      <c r="E10" s="201">
        <f>596496.7+8359.7</f>
        <v>604856.39999999991</v>
      </c>
      <c r="F10" s="138">
        <f>SUM(C10:E10)</f>
        <v>1880907.15</v>
      </c>
    </row>
    <row r="11" spans="1:6">
      <c r="A11" s="106"/>
      <c r="B11" s="114" t="s">
        <v>4</v>
      </c>
      <c r="C11" s="204">
        <v>517389.2</v>
      </c>
      <c r="D11" s="138">
        <v>294643.45</v>
      </c>
      <c r="E11" s="202">
        <v>364738.73</v>
      </c>
      <c r="F11" s="138">
        <f t="shared" ref="F11:F19" si="0">SUM(C11:E11)</f>
        <v>1176771.3799999999</v>
      </c>
    </row>
    <row r="12" spans="1:6">
      <c r="A12" s="106"/>
      <c r="B12" s="194" t="s">
        <v>152</v>
      </c>
      <c r="C12" s="204">
        <v>263303.75</v>
      </c>
      <c r="D12" s="138">
        <v>263303.75</v>
      </c>
      <c r="E12" s="198">
        <v>263303.75</v>
      </c>
      <c r="F12" s="138">
        <f t="shared" si="0"/>
        <v>789911.25</v>
      </c>
    </row>
    <row r="13" spans="1:6">
      <c r="A13" s="106"/>
      <c r="B13" s="114" t="s">
        <v>6</v>
      </c>
      <c r="C13" s="204">
        <f>0.15-13910.81</f>
        <v>-13910.66</v>
      </c>
      <c r="D13" s="138">
        <v>409631.92</v>
      </c>
      <c r="E13" s="198">
        <f>632576.86-25105.62</f>
        <v>607471.24</v>
      </c>
      <c r="F13" s="138">
        <f t="shared" si="0"/>
        <v>1003192.5</v>
      </c>
    </row>
    <row r="14" spans="1:6">
      <c r="A14" s="106"/>
      <c r="B14" s="114" t="s">
        <v>239</v>
      </c>
      <c r="C14" s="204">
        <v>58411.22</v>
      </c>
      <c r="D14" s="204">
        <v>58143.75</v>
      </c>
      <c r="E14" s="199">
        <v>57745.31</v>
      </c>
      <c r="F14" s="138">
        <f t="shared" si="0"/>
        <v>174300.28</v>
      </c>
    </row>
    <row r="15" spans="1:6">
      <c r="A15" s="106"/>
      <c r="B15" s="114" t="s">
        <v>240</v>
      </c>
      <c r="C15" s="204">
        <v>13445.4</v>
      </c>
      <c r="D15" s="204">
        <v>13318.11</v>
      </c>
      <c r="E15" s="199">
        <v>13251.74</v>
      </c>
      <c r="F15" s="138">
        <f t="shared" si="0"/>
        <v>40015.25</v>
      </c>
    </row>
    <row r="16" spans="1:6">
      <c r="A16" s="106"/>
      <c r="B16" s="114" t="s">
        <v>241</v>
      </c>
      <c r="C16" s="204">
        <v>5605.43</v>
      </c>
      <c r="D16" s="204">
        <v>5552.37</v>
      </c>
      <c r="E16" s="199">
        <v>5524.7</v>
      </c>
      <c r="F16" s="138">
        <f t="shared" si="0"/>
        <v>16682.5</v>
      </c>
    </row>
    <row r="17" spans="1:6">
      <c r="A17" s="106"/>
      <c r="B17" s="114" t="s">
        <v>242</v>
      </c>
      <c r="C17" s="204">
        <v>19205.7</v>
      </c>
      <c r="D17" s="204">
        <v>19021.29</v>
      </c>
      <c r="E17" s="199">
        <v>18926.32</v>
      </c>
      <c r="F17" s="138">
        <f t="shared" si="0"/>
        <v>57153.310000000005</v>
      </c>
    </row>
    <row r="18" spans="1:6">
      <c r="A18" s="106"/>
      <c r="B18" s="114" t="s">
        <v>7</v>
      </c>
      <c r="C18" s="204">
        <v>14297.67</v>
      </c>
      <c r="D18" s="204">
        <v>13497.43</v>
      </c>
      <c r="E18" s="199">
        <v>313284.2</v>
      </c>
      <c r="F18" s="138">
        <f t="shared" si="0"/>
        <v>341079.3</v>
      </c>
    </row>
    <row r="19" spans="1:6">
      <c r="A19" s="106"/>
      <c r="B19" s="114" t="s">
        <v>149</v>
      </c>
      <c r="C19" s="204">
        <v>6223.26</v>
      </c>
      <c r="D19" s="204">
        <v>0</v>
      </c>
      <c r="E19" s="199">
        <v>0</v>
      </c>
      <c r="F19" s="138">
        <f t="shared" si="0"/>
        <v>6223.26</v>
      </c>
    </row>
    <row r="20" spans="1:6">
      <c r="A20" s="111"/>
      <c r="B20" s="116" t="s">
        <v>9</v>
      </c>
      <c r="C20" s="203">
        <f>SUM(C10:C19)</f>
        <v>1670809.7999999998</v>
      </c>
      <c r="D20" s="203">
        <f>SUM(D10:D19)</f>
        <v>1566323.9900000002</v>
      </c>
      <c r="E20" s="117">
        <f>SUM(E10:E19)</f>
        <v>2249102.39</v>
      </c>
      <c r="F20" s="117">
        <f>SUM(F10:F19)</f>
        <v>5486236.1799999988</v>
      </c>
    </row>
    <row r="21" spans="1:6">
      <c r="A21" s="106"/>
      <c r="B21" s="106"/>
      <c r="C21" s="143"/>
      <c r="D21" s="109"/>
      <c r="E21" s="109"/>
      <c r="F21" s="109"/>
    </row>
    <row r="22" spans="1:6">
      <c r="A22" s="111"/>
      <c r="B22" s="350" t="s">
        <v>128</v>
      </c>
      <c r="C22" s="351"/>
      <c r="D22" s="351"/>
      <c r="E22" s="351"/>
      <c r="F22" s="351"/>
    </row>
    <row r="23" spans="1:6">
      <c r="A23" s="106"/>
      <c r="B23" s="352"/>
      <c r="C23" s="353"/>
      <c r="D23" s="353"/>
      <c r="E23" s="353"/>
      <c r="F23" s="353"/>
    </row>
    <row r="24" spans="1:6">
      <c r="A24" s="106"/>
      <c r="B24" s="118" t="s">
        <v>121</v>
      </c>
      <c r="C24" s="118" t="s">
        <v>2</v>
      </c>
      <c r="D24" s="118" t="s">
        <v>2</v>
      </c>
      <c r="E24" s="118" t="s">
        <v>2</v>
      </c>
      <c r="F24" s="118" t="s">
        <v>2</v>
      </c>
    </row>
    <row r="25" spans="1:6">
      <c r="A25" s="106"/>
      <c r="B25" s="114" t="s">
        <v>245</v>
      </c>
      <c r="C25" s="115">
        <v>653828.48</v>
      </c>
      <c r="D25" s="115">
        <v>623073.82999999996</v>
      </c>
      <c r="E25" s="115">
        <v>628352.19999999995</v>
      </c>
      <c r="F25" s="115">
        <f>SUM(C25:E25)</f>
        <v>1905254.51</v>
      </c>
    </row>
    <row r="26" spans="1:6">
      <c r="A26" s="106"/>
      <c r="B26" s="114" t="s">
        <v>150</v>
      </c>
      <c r="C26" s="115">
        <v>72346.3</v>
      </c>
      <c r="D26" s="115">
        <v>71877.13</v>
      </c>
      <c r="E26" s="115">
        <v>72215.28</v>
      </c>
      <c r="F26" s="115">
        <f t="shared" ref="F26:F29" si="1">SUM(C26:E26)</f>
        <v>216438.71</v>
      </c>
    </row>
    <row r="27" spans="1:6">
      <c r="A27" s="106"/>
      <c r="B27" s="114" t="s">
        <v>171</v>
      </c>
      <c r="C27" s="119">
        <v>61618.25</v>
      </c>
      <c r="D27" s="119">
        <v>38036.89</v>
      </c>
      <c r="E27" s="119">
        <v>31403.3</v>
      </c>
      <c r="F27" s="115">
        <f t="shared" si="1"/>
        <v>131058.44</v>
      </c>
    </row>
    <row r="28" spans="1:6">
      <c r="A28" s="106"/>
      <c r="B28" s="114" t="s">
        <v>13</v>
      </c>
      <c r="C28" s="115">
        <v>1782.94</v>
      </c>
      <c r="D28" s="115">
        <v>1683.17</v>
      </c>
      <c r="E28" s="115">
        <v>1683.17</v>
      </c>
      <c r="F28" s="115">
        <f t="shared" si="1"/>
        <v>5149.2800000000007</v>
      </c>
    </row>
    <row r="29" spans="1:6">
      <c r="A29" s="106"/>
      <c r="B29" s="114" t="s">
        <v>130</v>
      </c>
      <c r="C29" s="119">
        <v>45631</v>
      </c>
      <c r="D29" s="119">
        <v>36903.89</v>
      </c>
      <c r="E29" s="119">
        <f>30236.81-7394.6</f>
        <v>22842.21</v>
      </c>
      <c r="F29" s="115">
        <f t="shared" si="1"/>
        <v>105377.1</v>
      </c>
    </row>
    <row r="30" spans="1:6">
      <c r="A30" s="111"/>
      <c r="B30" s="120" t="s">
        <v>84</v>
      </c>
      <c r="C30" s="121">
        <f>SUM(C25:C29)</f>
        <v>835206.97</v>
      </c>
      <c r="D30" s="121">
        <f>SUM(D25:D29)</f>
        <v>771574.91</v>
      </c>
      <c r="E30" s="121">
        <f>SUM(E25:E29)</f>
        <v>756496.16</v>
      </c>
      <c r="F30" s="121">
        <f>SUM(F25:F29)</f>
        <v>2363278.04</v>
      </c>
    </row>
    <row r="31" spans="1:6">
      <c r="A31" s="111"/>
      <c r="B31" s="123" t="s">
        <v>14</v>
      </c>
      <c r="C31" s="124">
        <f>C20-C30</f>
        <v>835602.82999999984</v>
      </c>
      <c r="D31" s="124">
        <f>D20-D30</f>
        <v>794749.08000000019</v>
      </c>
      <c r="E31" s="124">
        <f>E20-E30</f>
        <v>1492606.23</v>
      </c>
      <c r="F31" s="124">
        <f>F20-F30</f>
        <v>3122958.1399999987</v>
      </c>
    </row>
    <row r="32" spans="1:6">
      <c r="A32" s="106"/>
      <c r="B32" s="106"/>
      <c r="C32" s="106"/>
      <c r="D32" s="109"/>
      <c r="E32" s="109"/>
      <c r="F32" s="109"/>
    </row>
    <row r="33" spans="1:6">
      <c r="A33" s="111"/>
      <c r="B33" s="356" t="s">
        <v>15</v>
      </c>
      <c r="C33" s="357"/>
      <c r="D33" s="357"/>
      <c r="E33" s="357"/>
      <c r="F33" s="357"/>
    </row>
    <row r="34" spans="1:6">
      <c r="A34" s="111"/>
      <c r="B34" s="350" t="s">
        <v>16</v>
      </c>
      <c r="C34" s="351"/>
      <c r="D34" s="351"/>
      <c r="E34" s="351"/>
      <c r="F34" s="351"/>
    </row>
    <row r="35" spans="1:6">
      <c r="A35" s="106"/>
      <c r="B35" s="352"/>
      <c r="C35" s="353"/>
      <c r="D35" s="353"/>
      <c r="E35" s="353"/>
      <c r="F35" s="353"/>
    </row>
    <row r="36" spans="1:6">
      <c r="A36" s="106"/>
      <c r="B36" s="127" t="s">
        <v>17</v>
      </c>
      <c r="C36" s="153"/>
      <c r="D36" s="165"/>
      <c r="E36" s="378" t="s">
        <v>2</v>
      </c>
      <c r="F36" s="359"/>
    </row>
    <row r="37" spans="1:6">
      <c r="A37" s="106"/>
      <c r="B37" s="114" t="s">
        <v>18</v>
      </c>
      <c r="C37" s="136"/>
      <c r="D37" s="166"/>
      <c r="E37" s="374">
        <v>0</v>
      </c>
      <c r="F37" s="371"/>
    </row>
    <row r="38" spans="1:6">
      <c r="A38" s="106"/>
      <c r="B38" s="114" t="s">
        <v>19</v>
      </c>
      <c r="C38" s="136"/>
      <c r="D38" s="166"/>
      <c r="E38" s="374">
        <v>0</v>
      </c>
      <c r="F38" s="371"/>
    </row>
    <row r="39" spans="1:6">
      <c r="A39" s="106"/>
      <c r="B39" s="114" t="s">
        <v>231</v>
      </c>
      <c r="C39" s="136"/>
      <c r="D39" s="166"/>
      <c r="E39" s="374">
        <v>0</v>
      </c>
      <c r="F39" s="371"/>
    </row>
    <row r="40" spans="1:6">
      <c r="A40" s="106"/>
      <c r="B40" s="114" t="s">
        <v>230</v>
      </c>
      <c r="C40" s="136"/>
      <c r="D40" s="166"/>
      <c r="E40" s="374">
        <v>0.15</v>
      </c>
      <c r="F40" s="371"/>
    </row>
    <row r="41" spans="1:6">
      <c r="A41" s="106"/>
      <c r="B41" s="114" t="s">
        <v>229</v>
      </c>
      <c r="C41" s="136"/>
      <c r="D41" s="166"/>
      <c r="E41" s="374">
        <v>0.01</v>
      </c>
      <c r="F41" s="371"/>
    </row>
    <row r="42" spans="1:6">
      <c r="A42" s="106"/>
      <c r="B42" s="114" t="s">
        <v>20</v>
      </c>
      <c r="C42" s="136"/>
      <c r="D42" s="166"/>
      <c r="E42" s="374">
        <v>199755.4</v>
      </c>
      <c r="F42" s="371"/>
    </row>
    <row r="43" spans="1:6">
      <c r="A43" s="106"/>
      <c r="B43" s="114" t="s">
        <v>21</v>
      </c>
      <c r="C43" s="136"/>
      <c r="D43" s="166"/>
      <c r="E43" s="374">
        <v>11242.07</v>
      </c>
      <c r="F43" s="371"/>
    </row>
    <row r="44" spans="1:6">
      <c r="A44" s="106"/>
      <c r="B44" s="114" t="s">
        <v>22</v>
      </c>
      <c r="C44" s="136"/>
      <c r="D44" s="166"/>
      <c r="E44" s="374">
        <v>329.81</v>
      </c>
      <c r="F44" s="371"/>
    </row>
    <row r="45" spans="1:6">
      <c r="A45" s="106"/>
      <c r="B45" s="118" t="s">
        <v>23</v>
      </c>
      <c r="C45" s="153"/>
      <c r="D45" s="165"/>
      <c r="E45" s="375">
        <f>SUM(E37:E44)</f>
        <v>211327.44</v>
      </c>
      <c r="F45" s="373"/>
    </row>
    <row r="46" spans="1:6">
      <c r="A46" s="106"/>
      <c r="B46" s="106"/>
      <c r="C46" s="106"/>
      <c r="D46" s="150"/>
      <c r="E46" s="209"/>
      <c r="F46" s="209"/>
    </row>
    <row r="47" spans="1:6">
      <c r="A47" s="106"/>
      <c r="B47" s="118" t="s">
        <v>24</v>
      </c>
      <c r="C47" s="153"/>
      <c r="D47" s="165"/>
      <c r="E47" s="378" t="s">
        <v>2</v>
      </c>
      <c r="F47" s="359"/>
    </row>
    <row r="48" spans="1:6">
      <c r="A48" s="106"/>
      <c r="B48" s="114" t="s">
        <v>25</v>
      </c>
      <c r="C48" s="136"/>
      <c r="D48" s="166"/>
      <c r="E48" s="374">
        <f>1369051.33+6175353.67+4768452.73+2215062.12+3144288.51+349062.25+1035539.29+455279.9+1314842.27</f>
        <v>20826932.069999997</v>
      </c>
      <c r="F48" s="371"/>
    </row>
    <row r="49" spans="1:8">
      <c r="B49" s="114" t="s">
        <v>26</v>
      </c>
      <c r="C49" s="136"/>
      <c r="D49" s="166"/>
      <c r="E49" s="374">
        <f>7190086.14+933242.74+1577441.09+67117.3+929246.23</f>
        <v>10697133.500000002</v>
      </c>
      <c r="F49" s="371"/>
    </row>
    <row r="50" spans="1:8">
      <c r="B50" s="114" t="s">
        <v>200</v>
      </c>
      <c r="C50" s="136"/>
      <c r="D50" s="166"/>
      <c r="E50" s="374">
        <v>10330356.460000001</v>
      </c>
      <c r="F50" s="371"/>
    </row>
    <row r="51" spans="1:8">
      <c r="B51" s="114" t="s">
        <v>206</v>
      </c>
      <c r="C51" s="136"/>
      <c r="D51" s="166"/>
      <c r="E51" s="374">
        <v>10286429.279999999</v>
      </c>
      <c r="F51" s="371"/>
    </row>
    <row r="52" spans="1:8">
      <c r="B52" s="114" t="s">
        <v>243</v>
      </c>
      <c r="C52" s="136"/>
      <c r="D52" s="206"/>
      <c r="E52" s="206"/>
      <c r="F52" s="200">
        <v>5091988.92</v>
      </c>
    </row>
    <row r="53" spans="1:8">
      <c r="B53" s="114" t="s">
        <v>237</v>
      </c>
      <c r="C53" s="136"/>
      <c r="D53" s="206"/>
      <c r="E53" s="206"/>
      <c r="F53" s="200">
        <v>5091323.78</v>
      </c>
    </row>
    <row r="54" spans="1:8">
      <c r="B54" s="114" t="s">
        <v>131</v>
      </c>
      <c r="C54" s="136"/>
      <c r="D54" s="166"/>
      <c r="E54" s="374">
        <v>242507.25</v>
      </c>
      <c r="F54" s="371"/>
      <c r="H54" s="184"/>
    </row>
    <row r="55" spans="1:8">
      <c r="B55" s="118" t="s">
        <v>28</v>
      </c>
      <c r="C55" s="153"/>
      <c r="D55" s="165"/>
      <c r="E55" s="375">
        <f>SUM(E48:F54)</f>
        <v>62566671.260000005</v>
      </c>
      <c r="F55" s="373"/>
    </row>
    <row r="56" spans="1:8">
      <c r="B56" s="131"/>
      <c r="C56" s="131"/>
      <c r="D56" s="132"/>
      <c r="E56" s="210"/>
      <c r="F56" s="210"/>
      <c r="H56" s="109"/>
    </row>
    <row r="57" spans="1:8">
      <c r="B57" s="125" t="s">
        <v>29</v>
      </c>
      <c r="C57" s="125"/>
      <c r="D57" s="125"/>
      <c r="E57" s="376">
        <f>E55+E45</f>
        <v>62777998.700000003</v>
      </c>
      <c r="F57" s="377"/>
    </row>
    <row r="58" spans="1:8" ht="16.5" thickBot="1">
      <c r="B58" s="106"/>
      <c r="C58" s="106"/>
      <c r="D58" s="109"/>
      <c r="E58" s="109"/>
      <c r="F58" s="109"/>
    </row>
    <row r="59" spans="1:8" s="76" customFormat="1" ht="13.5" thickBot="1">
      <c r="A59" s="211"/>
      <c r="B59" s="212" t="s">
        <v>226</v>
      </c>
      <c r="C59" s="213"/>
      <c r="D59" s="214"/>
      <c r="E59" s="214"/>
      <c r="F59" s="215"/>
    </row>
    <row r="60" spans="1:8" s="76" customFormat="1" ht="13.5" thickBot="1">
      <c r="A60" s="211"/>
      <c r="B60" s="216"/>
      <c r="C60" s="216"/>
      <c r="D60" s="217"/>
      <c r="E60" s="217"/>
      <c r="F60" s="217"/>
    </row>
    <row r="61" spans="1:8" s="76" customFormat="1" ht="13.5" thickBot="1">
      <c r="A61" s="211"/>
      <c r="B61" s="212" t="s">
        <v>244</v>
      </c>
      <c r="C61" s="218"/>
      <c r="D61" s="219"/>
      <c r="E61" s="219"/>
      <c r="F61" s="220"/>
    </row>
    <row r="62" spans="1:8">
      <c r="B62" s="106"/>
      <c r="C62" s="106"/>
      <c r="E62" s="109"/>
      <c r="F62" s="109"/>
    </row>
    <row r="63" spans="1:8">
      <c r="B63" s="106"/>
      <c r="C63" s="106"/>
      <c r="D63" s="106"/>
      <c r="E63" s="106"/>
    </row>
    <row r="64" spans="1:8">
      <c r="B64" s="106"/>
      <c r="C64" s="106"/>
      <c r="D64" s="106"/>
      <c r="E64" s="106"/>
    </row>
    <row r="65" spans="2:5">
      <c r="B65" s="339"/>
      <c r="C65" s="339"/>
      <c r="D65" s="339"/>
      <c r="E65" s="339"/>
    </row>
  </sheetData>
  <mergeCells count="23">
    <mergeCell ref="E37:F37"/>
    <mergeCell ref="B7:F8"/>
    <mergeCell ref="B22:F23"/>
    <mergeCell ref="B33:F33"/>
    <mergeCell ref="B34:F35"/>
    <mergeCell ref="E36:F36"/>
    <mergeCell ref="E50:F50"/>
    <mergeCell ref="E38:F38"/>
    <mergeCell ref="E39:F39"/>
    <mergeCell ref="E40:F40"/>
    <mergeCell ref="E41:F41"/>
    <mergeCell ref="E42:F42"/>
    <mergeCell ref="E43:F43"/>
    <mergeCell ref="E44:F44"/>
    <mergeCell ref="E45:F45"/>
    <mergeCell ref="E47:F47"/>
    <mergeCell ref="E48:F48"/>
    <mergeCell ref="E49:F49"/>
    <mergeCell ref="E51:F51"/>
    <mergeCell ref="E54:F54"/>
    <mergeCell ref="E55:F55"/>
    <mergeCell ref="E57:F57"/>
    <mergeCell ref="B65:E65"/>
  </mergeCells>
  <pageMargins left="0.25" right="0.25" top="0.75" bottom="0.75" header="0.3" footer="0.3"/>
  <pageSetup paperSize="9" scale="48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65"/>
  <sheetViews>
    <sheetView topLeftCell="A25" workbookViewId="0">
      <selection activeCell="C30" sqref="C30"/>
    </sheetView>
  </sheetViews>
  <sheetFormatPr defaultRowHeight="15.75"/>
  <cols>
    <col min="1" max="1" width="2.5703125" style="108" customWidth="1"/>
    <col min="2" max="2" width="59.7109375" style="108" customWidth="1"/>
    <col min="3" max="3" width="20.28515625" style="108" customWidth="1"/>
    <col min="4" max="4" width="21.140625" style="108" customWidth="1"/>
    <col min="5" max="5" width="20" style="108" customWidth="1"/>
    <col min="6" max="6" width="20" style="108" bestFit="1" customWidth="1"/>
    <col min="7" max="7" width="18.7109375" style="108" bestFit="1" customWidth="1"/>
    <col min="9" max="9" width="13.7109375" customWidth="1"/>
  </cols>
  <sheetData>
    <row r="1" spans="1:7">
      <c r="A1" s="106" t="s">
        <v>118</v>
      </c>
      <c r="B1" s="106"/>
      <c r="C1" s="106"/>
      <c r="D1" s="106"/>
      <c r="E1" s="109"/>
      <c r="F1" s="109"/>
      <c r="G1" s="109"/>
    </row>
    <row r="2" spans="1:7">
      <c r="A2" s="106"/>
      <c r="B2" s="106"/>
      <c r="C2" s="106"/>
      <c r="D2" s="106"/>
      <c r="E2" s="109"/>
      <c r="F2" s="109"/>
      <c r="G2" s="109"/>
    </row>
    <row r="3" spans="1:7">
      <c r="A3" s="106"/>
      <c r="B3" s="106"/>
      <c r="C3" s="106"/>
      <c r="D3" s="106"/>
      <c r="E3" s="109"/>
      <c r="F3" s="109"/>
      <c r="G3" s="109"/>
    </row>
    <row r="4" spans="1:7">
      <c r="A4" s="106"/>
      <c r="B4" s="106"/>
      <c r="C4" s="106"/>
      <c r="D4" s="106"/>
      <c r="E4" s="109"/>
      <c r="F4" s="109"/>
      <c r="G4" s="109"/>
    </row>
    <row r="5" spans="1:7">
      <c r="A5" s="106"/>
      <c r="B5" s="106"/>
      <c r="C5" s="106"/>
      <c r="D5" s="106"/>
      <c r="E5" s="109"/>
      <c r="F5" s="109"/>
      <c r="G5" s="109"/>
    </row>
    <row r="6" spans="1:7">
      <c r="A6" s="140"/>
      <c r="B6" s="139" t="s">
        <v>0</v>
      </c>
      <c r="C6" s="139" t="s">
        <v>53</v>
      </c>
      <c r="D6" s="139" t="s">
        <v>44</v>
      </c>
      <c r="E6" s="139" t="s">
        <v>151</v>
      </c>
      <c r="F6" s="139" t="s">
        <v>31</v>
      </c>
      <c r="G6" s="139">
        <v>2023</v>
      </c>
    </row>
    <row r="7" spans="1:7">
      <c r="A7" s="111"/>
      <c r="B7" s="350" t="s">
        <v>127</v>
      </c>
      <c r="C7" s="351"/>
      <c r="D7" s="351"/>
      <c r="E7" s="351"/>
      <c r="F7" s="351"/>
      <c r="G7" s="351"/>
    </row>
    <row r="8" spans="1:7">
      <c r="A8" s="111"/>
      <c r="B8" s="352"/>
      <c r="C8" s="353"/>
      <c r="D8" s="353"/>
      <c r="E8" s="353"/>
      <c r="F8" s="353"/>
      <c r="G8" s="353"/>
    </row>
    <row r="9" spans="1:7">
      <c r="A9" s="111"/>
      <c r="B9" s="118" t="s">
        <v>120</v>
      </c>
      <c r="C9" s="178" t="s">
        <v>2</v>
      </c>
      <c r="D9" s="178" t="s">
        <v>2</v>
      </c>
      <c r="E9" s="178" t="s">
        <v>2</v>
      </c>
      <c r="F9" s="118" t="s">
        <v>2</v>
      </c>
      <c r="G9" s="118" t="s">
        <v>2</v>
      </c>
    </row>
    <row r="10" spans="1:7">
      <c r="A10" s="106"/>
      <c r="B10" s="136" t="s">
        <v>3</v>
      </c>
      <c r="C10" s="204">
        <f>665990.74+8273.92</f>
        <v>674264.66</v>
      </c>
      <c r="D10" s="204">
        <f>780898.41+5940.42</f>
        <v>786838.83000000007</v>
      </c>
      <c r="E10" s="138">
        <f>480832.95+8378.97</f>
        <v>489211.92</v>
      </c>
      <c r="F10" s="201">
        <f>596496.7+8359.7</f>
        <v>604856.39999999991</v>
      </c>
      <c r="G10" s="138">
        <f>SUM(C10:F10)</f>
        <v>2555171.81</v>
      </c>
    </row>
    <row r="11" spans="1:7">
      <c r="A11" s="106"/>
      <c r="B11" s="114" t="s">
        <v>4</v>
      </c>
      <c r="C11" s="204">
        <v>429077.63</v>
      </c>
      <c r="D11" s="204">
        <v>517389.2</v>
      </c>
      <c r="E11" s="138">
        <v>294643.45</v>
      </c>
      <c r="F11" s="202">
        <v>364738.73</v>
      </c>
      <c r="G11" s="138">
        <f t="shared" ref="G11:G19" si="0">SUM(C11:F11)</f>
        <v>1605849.01</v>
      </c>
    </row>
    <row r="12" spans="1:7">
      <c r="A12" s="106"/>
      <c r="B12" s="194" t="s">
        <v>160</v>
      </c>
      <c r="C12" s="204">
        <v>263303.75</v>
      </c>
      <c r="D12" s="204">
        <v>263303.75</v>
      </c>
      <c r="E12" s="138">
        <v>263303.75</v>
      </c>
      <c r="F12" s="198">
        <v>263303.75</v>
      </c>
      <c r="G12" s="138">
        <f t="shared" si="0"/>
        <v>1053215</v>
      </c>
    </row>
    <row r="13" spans="1:7">
      <c r="A13" s="106"/>
      <c r="B13" s="114" t="s">
        <v>6</v>
      </c>
      <c r="C13" s="204">
        <v>4493.3900000000003</v>
      </c>
      <c r="D13" s="204">
        <f>0.15-13910.81</f>
        <v>-13910.66</v>
      </c>
      <c r="E13" s="138">
        <v>409631.92</v>
      </c>
      <c r="F13" s="198">
        <f>632576.86-25105.62</f>
        <v>607471.24</v>
      </c>
      <c r="G13" s="138">
        <f t="shared" si="0"/>
        <v>1007685.8899999999</v>
      </c>
    </row>
    <row r="14" spans="1:7">
      <c r="A14" s="106"/>
      <c r="B14" s="114" t="s">
        <v>239</v>
      </c>
      <c r="C14" s="204">
        <v>58860.98</v>
      </c>
      <c r="D14" s="204">
        <v>58411.22</v>
      </c>
      <c r="E14" s="204">
        <v>58143.75</v>
      </c>
      <c r="F14" s="199">
        <v>57745.31</v>
      </c>
      <c r="G14" s="138">
        <f t="shared" si="0"/>
        <v>233161.26</v>
      </c>
    </row>
    <row r="15" spans="1:7">
      <c r="A15" s="106"/>
      <c r="B15" s="114" t="s">
        <v>246</v>
      </c>
      <c r="C15" s="204">
        <v>13616.57</v>
      </c>
      <c r="D15" s="204">
        <v>13445.4</v>
      </c>
      <c r="E15" s="204">
        <v>13318.11</v>
      </c>
      <c r="F15" s="199">
        <v>13251.74</v>
      </c>
      <c r="G15" s="138">
        <f t="shared" si="0"/>
        <v>53631.82</v>
      </c>
    </row>
    <row r="16" spans="1:7">
      <c r="A16" s="106"/>
      <c r="B16" s="114" t="s">
        <v>247</v>
      </c>
      <c r="C16" s="204">
        <v>5676.81</v>
      </c>
      <c r="D16" s="204">
        <v>5605.43</v>
      </c>
      <c r="E16" s="204">
        <v>5552.37</v>
      </c>
      <c r="F16" s="199">
        <v>5524.7</v>
      </c>
      <c r="G16" s="138">
        <f t="shared" si="0"/>
        <v>22359.31</v>
      </c>
    </row>
    <row r="17" spans="1:9">
      <c r="A17" s="106"/>
      <c r="B17" s="114" t="s">
        <v>248</v>
      </c>
      <c r="C17" s="204">
        <v>19449.22</v>
      </c>
      <c r="D17" s="204">
        <v>19205.7</v>
      </c>
      <c r="E17" s="204">
        <v>19021.29</v>
      </c>
      <c r="F17" s="199">
        <v>18926.32</v>
      </c>
      <c r="G17" s="138">
        <f t="shared" si="0"/>
        <v>76602.53</v>
      </c>
      <c r="I17" s="184"/>
    </row>
    <row r="18" spans="1:9">
      <c r="A18" s="106"/>
      <c r="B18" s="114" t="s">
        <v>7</v>
      </c>
      <c r="C18" s="204">
        <v>0</v>
      </c>
      <c r="D18" s="204">
        <v>14297.67</v>
      </c>
      <c r="E18" s="204">
        <v>13497.43</v>
      </c>
      <c r="F18" s="199">
        <v>313284.2</v>
      </c>
      <c r="G18" s="138">
        <f t="shared" si="0"/>
        <v>341079.3</v>
      </c>
    </row>
    <row r="19" spans="1:9">
      <c r="A19" s="106"/>
      <c r="B19" s="114" t="s">
        <v>149</v>
      </c>
      <c r="C19" s="204">
        <v>0</v>
      </c>
      <c r="D19" s="204">
        <v>6223.26</v>
      </c>
      <c r="E19" s="204">
        <v>0</v>
      </c>
      <c r="F19" s="199">
        <v>0</v>
      </c>
      <c r="G19" s="138">
        <f t="shared" si="0"/>
        <v>6223.26</v>
      </c>
    </row>
    <row r="20" spans="1:9">
      <c r="A20" s="111"/>
      <c r="B20" s="116" t="s">
        <v>9</v>
      </c>
      <c r="C20" s="203">
        <f>SUM(C10:C19)</f>
        <v>1468743.01</v>
      </c>
      <c r="D20" s="203">
        <f>SUM(D10:D19)</f>
        <v>1670809.7999999998</v>
      </c>
      <c r="E20" s="203">
        <f>SUM(E10:E19)</f>
        <v>1566323.9900000002</v>
      </c>
      <c r="F20" s="117">
        <f>SUM(F10:F19)</f>
        <v>2249102.39</v>
      </c>
      <c r="G20" s="117">
        <f>SUM(G10:G19)</f>
        <v>6954979.1899999995</v>
      </c>
    </row>
    <row r="21" spans="1:9">
      <c r="A21" s="106"/>
      <c r="B21" s="106"/>
      <c r="C21" s="106"/>
      <c r="D21" s="143"/>
      <c r="E21" s="109"/>
      <c r="F21" s="109"/>
      <c r="G21" s="109"/>
    </row>
    <row r="22" spans="1:9">
      <c r="A22" s="111"/>
      <c r="B22" s="350" t="s">
        <v>128</v>
      </c>
      <c r="C22" s="351"/>
      <c r="D22" s="351"/>
      <c r="E22" s="351"/>
      <c r="F22" s="351"/>
      <c r="G22" s="351"/>
    </row>
    <row r="23" spans="1:9">
      <c r="A23" s="106"/>
      <c r="B23" s="352"/>
      <c r="C23" s="353"/>
      <c r="D23" s="353"/>
      <c r="E23" s="353"/>
      <c r="F23" s="353"/>
      <c r="G23" s="353"/>
    </row>
    <row r="24" spans="1:9">
      <c r="A24" s="106"/>
      <c r="B24" s="118" t="s">
        <v>121</v>
      </c>
      <c r="C24" s="118" t="s">
        <v>2</v>
      </c>
      <c r="D24" s="118" t="s">
        <v>2</v>
      </c>
      <c r="E24" s="118" t="s">
        <v>2</v>
      </c>
      <c r="F24" s="118" t="s">
        <v>2</v>
      </c>
      <c r="G24" s="118" t="s">
        <v>2</v>
      </c>
    </row>
    <row r="25" spans="1:9">
      <c r="A25" s="106"/>
      <c r="B25" s="114" t="s">
        <v>245</v>
      </c>
      <c r="C25" s="189">
        <v>665086.01</v>
      </c>
      <c r="D25" s="115">
        <v>653828.48</v>
      </c>
      <c r="E25" s="115">
        <v>623073.82999999996</v>
      </c>
      <c r="F25" s="115">
        <v>628352.19999999995</v>
      </c>
      <c r="G25" s="115">
        <f>SUM(C25:F25)</f>
        <v>2570340.5199999996</v>
      </c>
    </row>
    <row r="26" spans="1:9">
      <c r="A26" s="106"/>
      <c r="B26" s="114" t="s">
        <v>150</v>
      </c>
      <c r="C26" s="189">
        <v>72346.3</v>
      </c>
      <c r="D26" s="115">
        <v>72346.3</v>
      </c>
      <c r="E26" s="115">
        <v>71877.13</v>
      </c>
      <c r="F26" s="115">
        <v>72215.28</v>
      </c>
      <c r="G26" s="115">
        <f t="shared" ref="G26:G29" si="1">SUM(C26:F26)</f>
        <v>288785.01</v>
      </c>
    </row>
    <row r="27" spans="1:9">
      <c r="A27" s="106"/>
      <c r="B27" s="114" t="s">
        <v>171</v>
      </c>
      <c r="C27" s="190">
        <v>46891.27</v>
      </c>
      <c r="D27" s="119">
        <v>61618.25</v>
      </c>
      <c r="E27" s="119">
        <v>38036.89</v>
      </c>
      <c r="F27" s="119">
        <v>31403.3</v>
      </c>
      <c r="G27" s="115">
        <f t="shared" si="1"/>
        <v>177949.70999999996</v>
      </c>
    </row>
    <row r="28" spans="1:9">
      <c r="A28" s="106"/>
      <c r="B28" s="114" t="s">
        <v>13</v>
      </c>
      <c r="C28" s="189">
        <v>268.7</v>
      </c>
      <c r="D28" s="115">
        <v>1782.94</v>
      </c>
      <c r="E28" s="115">
        <v>1683.17</v>
      </c>
      <c r="F28" s="115">
        <v>1683.17</v>
      </c>
      <c r="G28" s="115">
        <f t="shared" si="1"/>
        <v>5417.98</v>
      </c>
    </row>
    <row r="29" spans="1:9">
      <c r="A29" s="106"/>
      <c r="B29" s="114" t="s">
        <v>130</v>
      </c>
      <c r="C29" s="190">
        <v>64228.92</v>
      </c>
      <c r="D29" s="119">
        <v>45631</v>
      </c>
      <c r="E29" s="119">
        <v>36903.89</v>
      </c>
      <c r="F29" s="119">
        <f>30236.81-7394.6</f>
        <v>22842.21</v>
      </c>
      <c r="G29" s="115">
        <f t="shared" si="1"/>
        <v>169606.02</v>
      </c>
    </row>
    <row r="30" spans="1:9">
      <c r="A30" s="111"/>
      <c r="B30" s="120" t="s">
        <v>84</v>
      </c>
      <c r="C30" s="121">
        <f>SUM(C25:C29)</f>
        <v>848821.20000000007</v>
      </c>
      <c r="D30" s="121">
        <f>SUM(D25:D29)</f>
        <v>835206.97</v>
      </c>
      <c r="E30" s="121">
        <f>SUM(E25:E29)</f>
        <v>771574.91</v>
      </c>
      <c r="F30" s="121">
        <f>SUM(F25:F29)</f>
        <v>756496.16</v>
      </c>
      <c r="G30" s="121">
        <f>SUM(G25:G29)</f>
        <v>3212099.2399999993</v>
      </c>
    </row>
    <row r="31" spans="1:9">
      <c r="A31" s="111"/>
      <c r="B31" s="123" t="s">
        <v>14</v>
      </c>
      <c r="C31" s="124">
        <f>C20-C30</f>
        <v>619921.80999999994</v>
      </c>
      <c r="D31" s="124">
        <f>D20-D30</f>
        <v>835602.82999999984</v>
      </c>
      <c r="E31" s="124">
        <f>E20-E30</f>
        <v>794749.08000000019</v>
      </c>
      <c r="F31" s="124">
        <f>F20-F30</f>
        <v>1492606.23</v>
      </c>
      <c r="G31" s="124">
        <f>G20-G30</f>
        <v>3742879.95</v>
      </c>
    </row>
    <row r="32" spans="1:9">
      <c r="A32" s="106"/>
      <c r="B32" s="106"/>
      <c r="C32" s="106"/>
      <c r="D32" s="143"/>
      <c r="E32" s="109"/>
      <c r="F32" s="109"/>
      <c r="G32" s="109"/>
    </row>
    <row r="33" spans="1:7">
      <c r="A33" s="111"/>
      <c r="B33" s="356" t="s">
        <v>15</v>
      </c>
      <c r="C33" s="357"/>
      <c r="D33" s="357"/>
      <c r="E33" s="357"/>
      <c r="F33" s="357"/>
      <c r="G33" s="357"/>
    </row>
    <row r="34" spans="1:7">
      <c r="A34" s="111"/>
      <c r="B34" s="350" t="s">
        <v>16</v>
      </c>
      <c r="C34" s="351"/>
      <c r="D34" s="351"/>
      <c r="E34" s="351"/>
      <c r="F34" s="351"/>
      <c r="G34" s="351"/>
    </row>
    <row r="35" spans="1:7">
      <c r="A35" s="106"/>
      <c r="B35" s="352"/>
      <c r="C35" s="355"/>
      <c r="D35" s="353"/>
      <c r="E35" s="353"/>
      <c r="F35" s="353"/>
      <c r="G35" s="353"/>
    </row>
    <row r="36" spans="1:7">
      <c r="A36" s="106"/>
      <c r="B36" s="207" t="s">
        <v>17</v>
      </c>
      <c r="C36" s="222"/>
      <c r="D36" s="165"/>
      <c r="E36" s="165"/>
      <c r="F36" s="378" t="s">
        <v>2</v>
      </c>
      <c r="G36" s="359"/>
    </row>
    <row r="37" spans="1:7">
      <c r="A37" s="106"/>
      <c r="B37" s="136" t="s">
        <v>18</v>
      </c>
      <c r="C37" s="166"/>
      <c r="D37" s="166"/>
      <c r="E37" s="166"/>
      <c r="F37" s="374">
        <v>0</v>
      </c>
      <c r="G37" s="371"/>
    </row>
    <row r="38" spans="1:7">
      <c r="A38" s="106"/>
      <c r="B38" s="136" t="s">
        <v>19</v>
      </c>
      <c r="C38" s="166"/>
      <c r="D38" s="166"/>
      <c r="E38" s="166"/>
      <c r="F38" s="374">
        <v>0</v>
      </c>
      <c r="G38" s="371"/>
    </row>
    <row r="39" spans="1:7">
      <c r="A39" s="106"/>
      <c r="B39" s="136" t="s">
        <v>231</v>
      </c>
      <c r="C39" s="166"/>
      <c r="D39" s="166"/>
      <c r="E39" s="166"/>
      <c r="F39" s="374">
        <v>0</v>
      </c>
      <c r="G39" s="371"/>
    </row>
    <row r="40" spans="1:7">
      <c r="A40" s="106"/>
      <c r="B40" s="136" t="s">
        <v>230</v>
      </c>
      <c r="C40" s="166"/>
      <c r="D40" s="166"/>
      <c r="E40" s="166"/>
      <c r="F40" s="374">
        <v>0.15</v>
      </c>
      <c r="G40" s="371"/>
    </row>
    <row r="41" spans="1:7">
      <c r="A41" s="106"/>
      <c r="B41" s="136" t="s">
        <v>229</v>
      </c>
      <c r="C41" s="166"/>
      <c r="D41" s="166"/>
      <c r="E41" s="166"/>
      <c r="F41" s="374">
        <v>0.01</v>
      </c>
      <c r="G41" s="371"/>
    </row>
    <row r="42" spans="1:7">
      <c r="A42" s="106"/>
      <c r="B42" s="136" t="s">
        <v>20</v>
      </c>
      <c r="C42" s="166"/>
      <c r="D42" s="166"/>
      <c r="E42" s="166"/>
      <c r="F42" s="374">
        <v>156918.51</v>
      </c>
      <c r="G42" s="371"/>
    </row>
    <row r="43" spans="1:7">
      <c r="A43" s="106"/>
      <c r="B43" s="136" t="s">
        <v>21</v>
      </c>
      <c r="C43" s="166"/>
      <c r="D43" s="166"/>
      <c r="E43" s="166"/>
      <c r="F43" s="374">
        <v>12478.28</v>
      </c>
      <c r="G43" s="371"/>
    </row>
    <row r="44" spans="1:7">
      <c r="A44" s="106"/>
      <c r="B44" s="136" t="s">
        <v>22</v>
      </c>
      <c r="C44" s="166"/>
      <c r="D44" s="166"/>
      <c r="E44" s="166"/>
      <c r="F44" s="374">
        <v>274.81</v>
      </c>
      <c r="G44" s="371"/>
    </row>
    <row r="45" spans="1:7">
      <c r="A45" s="106"/>
      <c r="B45" s="153" t="s">
        <v>23</v>
      </c>
      <c r="C45" s="165"/>
      <c r="D45" s="165"/>
      <c r="E45" s="165"/>
      <c r="F45" s="375">
        <f>SUM(F37:F44)</f>
        <v>169671.76</v>
      </c>
      <c r="G45" s="373"/>
    </row>
    <row r="46" spans="1:7">
      <c r="A46" s="106"/>
      <c r="B46" s="106"/>
      <c r="C46" s="106"/>
      <c r="D46" s="106"/>
      <c r="E46" s="150"/>
      <c r="F46" s="209"/>
      <c r="G46" s="209"/>
    </row>
    <row r="47" spans="1:7">
      <c r="A47" s="106"/>
      <c r="B47" s="153" t="s">
        <v>24</v>
      </c>
      <c r="C47" s="165"/>
      <c r="D47" s="165"/>
      <c r="E47" s="165"/>
      <c r="F47" s="378" t="s">
        <v>2</v>
      </c>
      <c r="G47" s="359"/>
    </row>
    <row r="48" spans="1:7">
      <c r="A48" s="106"/>
      <c r="B48" s="136" t="s">
        <v>25</v>
      </c>
      <c r="C48" s="166"/>
      <c r="D48" s="166"/>
      <c r="E48" s="166"/>
      <c r="F48" s="374">
        <f>1381146.33+6917593.85+4808497.43+2259695.74+3208811.55+359150.75+1049383.24+452293.94+1324780.05</f>
        <v>21761352.879999999</v>
      </c>
      <c r="G48" s="371"/>
    </row>
    <row r="49" spans="1:7">
      <c r="B49" s="136" t="s">
        <v>26</v>
      </c>
      <c r="C49" s="166"/>
      <c r="D49" s="166"/>
      <c r="E49" s="166"/>
      <c r="F49" s="374">
        <f>7253862.11+939563.97+67839.04+1609025.41+937598.17</f>
        <v>10807888.699999999</v>
      </c>
      <c r="G49" s="371"/>
    </row>
    <row r="50" spans="1:7">
      <c r="B50" s="136" t="s">
        <v>200</v>
      </c>
      <c r="C50" s="166"/>
      <c r="D50" s="166"/>
      <c r="E50" s="166"/>
      <c r="F50" s="374">
        <v>10427760.300000001</v>
      </c>
      <c r="G50" s="371"/>
    </row>
    <row r="51" spans="1:7">
      <c r="B51" s="136" t="s">
        <v>206</v>
      </c>
      <c r="C51" s="166"/>
      <c r="D51" s="166"/>
      <c r="E51" s="166"/>
      <c r="F51" s="374">
        <v>10383614.9</v>
      </c>
      <c r="G51" s="371"/>
    </row>
    <row r="52" spans="1:7">
      <c r="B52" s="136" t="s">
        <v>243</v>
      </c>
      <c r="C52" s="166"/>
      <c r="D52" s="166"/>
      <c r="E52" s="206"/>
      <c r="F52" s="206"/>
      <c r="G52" s="200">
        <v>5141951.75</v>
      </c>
    </row>
    <row r="53" spans="1:7">
      <c r="B53" s="136" t="s">
        <v>237</v>
      </c>
      <c r="C53" s="166"/>
      <c r="D53" s="166"/>
      <c r="E53" s="206"/>
      <c r="F53" s="206"/>
      <c r="G53" s="200">
        <v>5141382.93</v>
      </c>
    </row>
    <row r="54" spans="1:7">
      <c r="B54" s="136" t="s">
        <v>131</v>
      </c>
      <c r="C54" s="166"/>
      <c r="D54" s="166"/>
      <c r="E54" s="166"/>
      <c r="F54" s="374">
        <v>246401.71</v>
      </c>
      <c r="G54" s="371"/>
    </row>
    <row r="55" spans="1:7">
      <c r="B55" s="153" t="s">
        <v>28</v>
      </c>
      <c r="C55" s="165"/>
      <c r="D55" s="165"/>
      <c r="E55" s="165"/>
      <c r="F55" s="375">
        <f>SUM(F48:G54)</f>
        <v>63910353.169999994</v>
      </c>
      <c r="G55" s="373"/>
    </row>
    <row r="56" spans="1:7">
      <c r="B56" s="131"/>
      <c r="C56" s="131"/>
      <c r="D56" s="131"/>
      <c r="E56" s="132"/>
      <c r="F56" s="210"/>
      <c r="G56" s="210"/>
    </row>
    <row r="57" spans="1:7">
      <c r="B57" s="125" t="s">
        <v>29</v>
      </c>
      <c r="C57" s="223"/>
      <c r="D57" s="221"/>
      <c r="E57" s="125"/>
      <c r="F57" s="376">
        <f>F55+F45</f>
        <v>64080024.929999992</v>
      </c>
      <c r="G57" s="377"/>
    </row>
    <row r="58" spans="1:7" ht="16.5" thickBot="1">
      <c r="B58" s="106"/>
      <c r="C58" s="106"/>
      <c r="D58" s="106"/>
      <c r="E58" s="109"/>
      <c r="F58" s="109"/>
      <c r="G58" s="109"/>
    </row>
    <row r="59" spans="1:7" thickBot="1">
      <c r="A59" s="211"/>
      <c r="B59" s="212" t="s">
        <v>226</v>
      </c>
      <c r="C59" s="213"/>
      <c r="D59" s="213"/>
      <c r="E59" s="214"/>
      <c r="F59" s="214"/>
      <c r="G59" s="215"/>
    </row>
    <row r="60" spans="1:7" thickBot="1">
      <c r="A60" s="211"/>
      <c r="B60" s="216"/>
      <c r="C60" s="216"/>
      <c r="D60" s="216"/>
      <c r="E60" s="217"/>
      <c r="F60" s="217"/>
      <c r="G60" s="217"/>
    </row>
    <row r="61" spans="1:7" thickBot="1">
      <c r="A61" s="211"/>
      <c r="B61" s="224" t="s">
        <v>249</v>
      </c>
      <c r="C61" s="213"/>
      <c r="D61" s="218"/>
      <c r="E61" s="219"/>
      <c r="F61" s="219"/>
      <c r="G61" s="220"/>
    </row>
    <row r="62" spans="1:7">
      <c r="B62" s="106"/>
      <c r="C62" s="106"/>
      <c r="D62" s="106"/>
      <c r="F62" s="109"/>
      <c r="G62" s="109"/>
    </row>
    <row r="63" spans="1:7">
      <c r="B63" s="106"/>
      <c r="C63" s="106"/>
      <c r="D63" s="106"/>
      <c r="E63" s="106"/>
      <c r="F63" s="186"/>
    </row>
    <row r="64" spans="1:7">
      <c r="B64" s="106"/>
      <c r="C64" s="106"/>
      <c r="D64" s="106"/>
      <c r="E64" s="106"/>
      <c r="F64" s="106"/>
    </row>
    <row r="65" spans="2:6">
      <c r="B65" s="339"/>
      <c r="C65" s="339"/>
      <c r="D65" s="339"/>
      <c r="E65" s="339"/>
      <c r="F65" s="339"/>
    </row>
  </sheetData>
  <mergeCells count="23">
    <mergeCell ref="F37:G37"/>
    <mergeCell ref="B7:G8"/>
    <mergeCell ref="B22:G23"/>
    <mergeCell ref="B33:G33"/>
    <mergeCell ref="B34:G35"/>
    <mergeCell ref="F36:G36"/>
    <mergeCell ref="F50:G50"/>
    <mergeCell ref="F38:G38"/>
    <mergeCell ref="F39:G39"/>
    <mergeCell ref="F40:G40"/>
    <mergeCell ref="F41:G41"/>
    <mergeCell ref="F42:G42"/>
    <mergeCell ref="F43:G43"/>
    <mergeCell ref="F44:G44"/>
    <mergeCell ref="F45:G45"/>
    <mergeCell ref="F47:G47"/>
    <mergeCell ref="F48:G48"/>
    <mergeCell ref="F49:G49"/>
    <mergeCell ref="F51:G51"/>
    <mergeCell ref="F54:G54"/>
    <mergeCell ref="F55:G55"/>
    <mergeCell ref="F57:G57"/>
    <mergeCell ref="B65:F6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65"/>
  <sheetViews>
    <sheetView topLeftCell="A10" workbookViewId="0">
      <selection activeCell="B62" sqref="B62"/>
    </sheetView>
  </sheetViews>
  <sheetFormatPr defaultRowHeight="15.75"/>
  <cols>
    <col min="1" max="1" width="2.5703125" style="108" customWidth="1"/>
    <col min="2" max="2" width="59.7109375" style="108" customWidth="1"/>
    <col min="3" max="3" width="20" style="108" customWidth="1"/>
    <col min="4" max="4" width="20.28515625" style="108" customWidth="1"/>
    <col min="5" max="5" width="21.140625" style="108" customWidth="1"/>
    <col min="6" max="6" width="20" style="108" customWidth="1"/>
    <col min="7" max="7" width="20" style="108" bestFit="1" customWidth="1"/>
    <col min="8" max="8" width="18.7109375" style="108" bestFit="1" customWidth="1"/>
    <col min="10" max="10" width="18.42578125" customWidth="1"/>
  </cols>
  <sheetData>
    <row r="1" spans="1:8">
      <c r="A1" s="106" t="s">
        <v>118</v>
      </c>
      <c r="B1" s="106"/>
      <c r="C1" s="106"/>
      <c r="D1" s="106"/>
      <c r="E1" s="106"/>
      <c r="F1" s="109"/>
      <c r="G1" s="109"/>
      <c r="H1" s="109"/>
    </row>
    <row r="2" spans="1:8">
      <c r="A2" s="106"/>
      <c r="B2" s="106"/>
      <c r="C2" s="106"/>
      <c r="D2" s="106"/>
      <c r="E2" s="106"/>
      <c r="F2" s="109"/>
      <c r="G2" s="109"/>
      <c r="H2" s="109"/>
    </row>
    <row r="3" spans="1:8">
      <c r="A3" s="106"/>
      <c r="B3" s="106"/>
      <c r="C3" s="106"/>
      <c r="D3" s="106"/>
      <c r="E3" s="106"/>
      <c r="F3" s="109"/>
      <c r="G3" s="109"/>
      <c r="H3" s="109"/>
    </row>
    <row r="4" spans="1:8">
      <c r="A4" s="106"/>
      <c r="B4" s="106"/>
      <c r="C4" s="106"/>
      <c r="D4" s="106"/>
      <c r="E4" s="106"/>
      <c r="F4" s="109"/>
      <c r="G4" s="109"/>
      <c r="H4" s="109"/>
    </row>
    <row r="5" spans="1:8">
      <c r="A5" s="106"/>
      <c r="B5" s="106"/>
      <c r="C5" s="106"/>
      <c r="D5" s="106"/>
      <c r="E5" s="106"/>
      <c r="F5" s="109"/>
      <c r="G5" s="109"/>
      <c r="H5" s="109"/>
    </row>
    <row r="6" spans="1:8">
      <c r="A6" s="140"/>
      <c r="B6" s="139" t="s">
        <v>0</v>
      </c>
      <c r="C6" s="139" t="s">
        <v>61</v>
      </c>
      <c r="D6" s="139" t="s">
        <v>53</v>
      </c>
      <c r="E6" s="139" t="s">
        <v>44</v>
      </c>
      <c r="F6" s="139" t="s">
        <v>151</v>
      </c>
      <c r="G6" s="139" t="s">
        <v>31</v>
      </c>
      <c r="H6" s="139">
        <v>2023</v>
      </c>
    </row>
    <row r="7" spans="1:8">
      <c r="A7" s="111"/>
      <c r="B7" s="350" t="s">
        <v>127</v>
      </c>
      <c r="C7" s="351"/>
      <c r="D7" s="351"/>
      <c r="E7" s="351"/>
      <c r="F7" s="351"/>
      <c r="G7" s="351"/>
      <c r="H7" s="351"/>
    </row>
    <row r="8" spans="1:8">
      <c r="A8" s="111"/>
      <c r="B8" s="352"/>
      <c r="C8" s="355"/>
      <c r="D8" s="353"/>
      <c r="E8" s="353"/>
      <c r="F8" s="353"/>
      <c r="G8" s="353"/>
      <c r="H8" s="353"/>
    </row>
    <row r="9" spans="1:8">
      <c r="A9" s="111"/>
      <c r="B9" s="153" t="s">
        <v>120</v>
      </c>
      <c r="C9" s="232" t="s">
        <v>2</v>
      </c>
      <c r="D9" s="229" t="s">
        <v>2</v>
      </c>
      <c r="E9" s="178" t="s">
        <v>2</v>
      </c>
      <c r="F9" s="178" t="s">
        <v>2</v>
      </c>
      <c r="G9" s="118" t="s">
        <v>2</v>
      </c>
      <c r="H9" s="118" t="s">
        <v>2</v>
      </c>
    </row>
    <row r="10" spans="1:8">
      <c r="A10" s="106"/>
      <c r="B10" s="136" t="s">
        <v>3</v>
      </c>
      <c r="C10" s="230">
        <f>664622.33+8395.67</f>
        <v>673018</v>
      </c>
      <c r="D10" s="230">
        <f>665990.74+8273.92</f>
        <v>674264.66</v>
      </c>
      <c r="E10" s="204">
        <f>780898.41+5940.42</f>
        <v>786838.83000000007</v>
      </c>
      <c r="F10" s="138">
        <f>480832.95+8378.97</f>
        <v>489211.92</v>
      </c>
      <c r="G10" s="201">
        <f>596496.7+8359.7</f>
        <v>604856.39999999991</v>
      </c>
      <c r="H10" s="138">
        <f>SUM(C10:G10)</f>
        <v>3228189.81</v>
      </c>
    </row>
    <row r="11" spans="1:8">
      <c r="A11" s="106"/>
      <c r="B11" s="136" t="s">
        <v>4</v>
      </c>
      <c r="C11" s="230">
        <v>428284.2</v>
      </c>
      <c r="D11" s="230">
        <v>429077.63</v>
      </c>
      <c r="E11" s="204">
        <v>517389.2</v>
      </c>
      <c r="F11" s="138">
        <v>294643.45</v>
      </c>
      <c r="G11" s="202">
        <v>364738.73</v>
      </c>
      <c r="H11" s="138">
        <f t="shared" ref="H11:H19" si="0">SUM(C11:G11)</f>
        <v>2034133.21</v>
      </c>
    </row>
    <row r="12" spans="1:8">
      <c r="A12" s="106"/>
      <c r="B12" s="227" t="s">
        <v>160</v>
      </c>
      <c r="C12" s="230">
        <v>263303.75</v>
      </c>
      <c r="D12" s="230">
        <v>263303.75</v>
      </c>
      <c r="E12" s="204">
        <v>263303.75</v>
      </c>
      <c r="F12" s="138">
        <v>263303.75</v>
      </c>
      <c r="G12" s="198">
        <v>263303.75</v>
      </c>
      <c r="H12" s="138">
        <f t="shared" si="0"/>
        <v>1316518.75</v>
      </c>
    </row>
    <row r="13" spans="1:8">
      <c r="A13" s="106"/>
      <c r="B13" s="136" t="s">
        <v>6</v>
      </c>
      <c r="C13" s="230">
        <v>448923.9</v>
      </c>
      <c r="D13" s="230">
        <v>4493.3900000000003</v>
      </c>
      <c r="E13" s="204">
        <f>0.15-13910.81</f>
        <v>-13910.66</v>
      </c>
      <c r="F13" s="138">
        <v>409631.92</v>
      </c>
      <c r="G13" s="198">
        <f>632576.86-25105.62</f>
        <v>607471.24</v>
      </c>
      <c r="H13" s="138">
        <f t="shared" si="0"/>
        <v>1456609.79</v>
      </c>
    </row>
    <row r="14" spans="1:8">
      <c r="A14" s="106"/>
      <c r="B14" s="136" t="s">
        <v>250</v>
      </c>
      <c r="C14" s="230">
        <v>59237.69</v>
      </c>
      <c r="D14" s="230">
        <v>58860.98</v>
      </c>
      <c r="E14" s="204">
        <v>58411.22</v>
      </c>
      <c r="F14" s="204">
        <v>58143.75</v>
      </c>
      <c r="G14" s="199">
        <v>57745.31</v>
      </c>
      <c r="H14" s="138">
        <f t="shared" si="0"/>
        <v>292398.95</v>
      </c>
    </row>
    <row r="15" spans="1:8">
      <c r="A15" s="106"/>
      <c r="B15" s="136" t="s">
        <v>251</v>
      </c>
      <c r="C15" s="230">
        <v>13771.83</v>
      </c>
      <c r="D15" s="230">
        <v>13616.57</v>
      </c>
      <c r="E15" s="204">
        <v>13445.4</v>
      </c>
      <c r="F15" s="204">
        <v>13318.11</v>
      </c>
      <c r="G15" s="199">
        <v>13251.74</v>
      </c>
      <c r="H15" s="138">
        <f t="shared" si="0"/>
        <v>67403.650000000009</v>
      </c>
    </row>
    <row r="16" spans="1:8">
      <c r="A16" s="106"/>
      <c r="B16" s="136" t="s">
        <v>252</v>
      </c>
      <c r="C16" s="230">
        <v>5741.52</v>
      </c>
      <c r="D16" s="230">
        <v>5676.81</v>
      </c>
      <c r="E16" s="204">
        <v>5605.43</v>
      </c>
      <c r="F16" s="204">
        <v>5552.37</v>
      </c>
      <c r="G16" s="199">
        <v>5524.7</v>
      </c>
      <c r="H16" s="138">
        <f t="shared" si="0"/>
        <v>28100.83</v>
      </c>
    </row>
    <row r="17" spans="1:10">
      <c r="A17" s="106"/>
      <c r="B17" s="136" t="s">
        <v>253</v>
      </c>
      <c r="C17" s="230">
        <v>19672.55</v>
      </c>
      <c r="D17" s="230">
        <v>19449.22</v>
      </c>
      <c r="E17" s="204">
        <v>19205.7</v>
      </c>
      <c r="F17" s="204">
        <v>19021.29</v>
      </c>
      <c r="G17" s="199">
        <v>18926.32</v>
      </c>
      <c r="H17" s="138">
        <f t="shared" si="0"/>
        <v>96275.080000000016</v>
      </c>
    </row>
    <row r="18" spans="1:10">
      <c r="A18" s="106"/>
      <c r="B18" s="136" t="s">
        <v>7</v>
      </c>
      <c r="C18" s="230">
        <v>28595.34</v>
      </c>
      <c r="D18" s="230">
        <v>0</v>
      </c>
      <c r="E18" s="204">
        <v>14297.67</v>
      </c>
      <c r="F18" s="204">
        <v>13497.43</v>
      </c>
      <c r="G18" s="199">
        <v>313284.2</v>
      </c>
      <c r="H18" s="138">
        <f t="shared" si="0"/>
        <v>369674.64</v>
      </c>
    </row>
    <row r="19" spans="1:10">
      <c r="A19" s="106"/>
      <c r="B19" s="136" t="s">
        <v>149</v>
      </c>
      <c r="C19" s="230">
        <v>2240.9</v>
      </c>
      <c r="D19" s="230">
        <v>0</v>
      </c>
      <c r="E19" s="204">
        <v>6223.26</v>
      </c>
      <c r="F19" s="204">
        <v>0</v>
      </c>
      <c r="G19" s="199">
        <v>0</v>
      </c>
      <c r="H19" s="138">
        <f t="shared" si="0"/>
        <v>8464.16</v>
      </c>
    </row>
    <row r="20" spans="1:10">
      <c r="A20" s="111"/>
      <c r="B20" s="228" t="s">
        <v>9</v>
      </c>
      <c r="C20" s="231">
        <f t="shared" ref="C20:H20" si="1">SUM(C10:C19)</f>
        <v>1942789.6800000002</v>
      </c>
      <c r="D20" s="231">
        <f t="shared" si="1"/>
        <v>1468743.01</v>
      </c>
      <c r="E20" s="203">
        <f t="shared" si="1"/>
        <v>1670809.7999999998</v>
      </c>
      <c r="F20" s="203">
        <f t="shared" si="1"/>
        <v>1566323.9900000002</v>
      </c>
      <c r="G20" s="117">
        <f t="shared" si="1"/>
        <v>2249102.39</v>
      </c>
      <c r="H20" s="117">
        <f t="shared" si="1"/>
        <v>8897768.870000001</v>
      </c>
    </row>
    <row r="21" spans="1:10">
      <c r="A21" s="106"/>
      <c r="B21" s="106"/>
      <c r="C21" s="106"/>
      <c r="D21" s="106"/>
      <c r="E21" s="143"/>
      <c r="F21" s="109"/>
      <c r="G21" s="109"/>
      <c r="H21" s="109"/>
    </row>
    <row r="22" spans="1:10">
      <c r="A22" s="111"/>
      <c r="B22" s="350" t="s">
        <v>128</v>
      </c>
      <c r="C22" s="351"/>
      <c r="D22" s="351"/>
      <c r="E22" s="351"/>
      <c r="F22" s="351"/>
      <c r="G22" s="351"/>
      <c r="H22" s="351"/>
    </row>
    <row r="23" spans="1:10">
      <c r="A23" s="106"/>
      <c r="B23" s="352"/>
      <c r="C23" s="353"/>
      <c r="D23" s="353"/>
      <c r="E23" s="353"/>
      <c r="F23" s="353"/>
      <c r="G23" s="353"/>
      <c r="H23" s="353"/>
    </row>
    <row r="24" spans="1:10">
      <c r="A24" s="106"/>
      <c r="B24" s="118" t="s">
        <v>121</v>
      </c>
      <c r="C24" s="118"/>
      <c r="D24" s="118" t="s">
        <v>2</v>
      </c>
      <c r="E24" s="118" t="s">
        <v>2</v>
      </c>
      <c r="F24" s="118" t="s">
        <v>2</v>
      </c>
      <c r="G24" s="118" t="s">
        <v>2</v>
      </c>
      <c r="H24" s="118" t="s">
        <v>2</v>
      </c>
    </row>
    <row r="25" spans="1:10">
      <c r="A25" s="106"/>
      <c r="B25" s="114" t="s">
        <v>254</v>
      </c>
      <c r="C25" s="189">
        <v>827737.05</v>
      </c>
      <c r="D25" s="189">
        <v>665086.01</v>
      </c>
      <c r="E25" s="115">
        <v>653828.48</v>
      </c>
      <c r="F25" s="115">
        <v>623073.82999999996</v>
      </c>
      <c r="G25" s="115">
        <v>628352.19999999995</v>
      </c>
      <c r="H25" s="115">
        <f>SUM(C25:G25)</f>
        <v>3398077.5700000003</v>
      </c>
    </row>
    <row r="26" spans="1:10">
      <c r="A26" s="106"/>
      <c r="B26" s="114" t="s">
        <v>150</v>
      </c>
      <c r="C26" s="189">
        <v>74419.42</v>
      </c>
      <c r="D26" s="189">
        <v>72346.3</v>
      </c>
      <c r="E26" s="115">
        <v>72346.3</v>
      </c>
      <c r="F26" s="115">
        <v>71877.13</v>
      </c>
      <c r="G26" s="115">
        <v>72215.28</v>
      </c>
      <c r="H26" s="115">
        <f>SUM(C26:G26)</f>
        <v>363204.43000000005</v>
      </c>
    </row>
    <row r="27" spans="1:10">
      <c r="A27" s="106"/>
      <c r="B27" s="114" t="s">
        <v>171</v>
      </c>
      <c r="C27" s="190">
        <v>73931.69</v>
      </c>
      <c r="D27" s="190">
        <v>46891.27</v>
      </c>
      <c r="E27" s="119">
        <v>61618.25</v>
      </c>
      <c r="F27" s="119">
        <v>38036.89</v>
      </c>
      <c r="G27" s="119">
        <v>31403.3</v>
      </c>
      <c r="H27" s="115">
        <f>SUM(C27:G27)</f>
        <v>251881.39999999997</v>
      </c>
    </row>
    <row r="28" spans="1:10">
      <c r="A28" s="106"/>
      <c r="B28" s="114" t="s">
        <v>13</v>
      </c>
      <c r="C28" s="189">
        <v>3297.86</v>
      </c>
      <c r="D28" s="189">
        <v>268.7</v>
      </c>
      <c r="E28" s="115">
        <v>1782.94</v>
      </c>
      <c r="F28" s="115">
        <v>1683.17</v>
      </c>
      <c r="G28" s="115">
        <v>1683.17</v>
      </c>
      <c r="H28" s="115">
        <f>SUM(C28:G28)</f>
        <v>8715.84</v>
      </c>
    </row>
    <row r="29" spans="1:10">
      <c r="A29" s="106"/>
      <c r="B29" s="114" t="s">
        <v>130</v>
      </c>
      <c r="C29" s="190">
        <v>35857.339999999997</v>
      </c>
      <c r="D29" s="190">
        <v>64228.92</v>
      </c>
      <c r="E29" s="119">
        <v>45631</v>
      </c>
      <c r="F29" s="119">
        <v>36903.89</v>
      </c>
      <c r="G29" s="119">
        <f>30236.81-7394.6</f>
        <v>22842.21</v>
      </c>
      <c r="H29" s="115">
        <f>SUM(C29:G29)</f>
        <v>205463.36000000002</v>
      </c>
    </row>
    <row r="30" spans="1:10">
      <c r="A30" s="111"/>
      <c r="B30" s="120" t="s">
        <v>84</v>
      </c>
      <c r="C30" s="121">
        <f t="shared" ref="C30:H30" si="2">SUM(C25:C29)</f>
        <v>1015243.3600000001</v>
      </c>
      <c r="D30" s="121">
        <f t="shared" si="2"/>
        <v>848821.20000000007</v>
      </c>
      <c r="E30" s="121">
        <f t="shared" si="2"/>
        <v>835206.97</v>
      </c>
      <c r="F30" s="121">
        <f t="shared" si="2"/>
        <v>771574.91</v>
      </c>
      <c r="G30" s="121">
        <f t="shared" si="2"/>
        <v>756496.16</v>
      </c>
      <c r="H30" s="121">
        <f t="shared" si="2"/>
        <v>4227342.6000000006</v>
      </c>
      <c r="J30" s="234"/>
    </row>
    <row r="31" spans="1:10">
      <c r="A31" s="111"/>
      <c r="B31" s="123" t="s">
        <v>14</v>
      </c>
      <c r="C31" s="124">
        <f>C20-C30</f>
        <v>927546.32000000007</v>
      </c>
      <c r="D31" s="124">
        <f>D20-D30</f>
        <v>619921.80999999994</v>
      </c>
      <c r="E31" s="124">
        <f>E20-E30</f>
        <v>835602.82999999984</v>
      </c>
      <c r="F31" s="124">
        <f>F20-F30</f>
        <v>794749.08000000019</v>
      </c>
      <c r="G31" s="124">
        <f>G20-G30</f>
        <v>1492606.23</v>
      </c>
      <c r="H31" s="124">
        <f>SUM(C31:G31)</f>
        <v>4670426.2699999996</v>
      </c>
      <c r="J31" s="184"/>
    </row>
    <row r="32" spans="1:10">
      <c r="A32" s="106"/>
      <c r="B32" s="106"/>
      <c r="C32" s="106"/>
      <c r="D32" s="106"/>
      <c r="E32" s="143"/>
      <c r="F32" s="109"/>
      <c r="G32" s="109"/>
      <c r="H32" s="109"/>
    </row>
    <row r="33" spans="1:8">
      <c r="A33" s="111"/>
      <c r="B33" s="356" t="s">
        <v>15</v>
      </c>
      <c r="C33" s="357"/>
      <c r="D33" s="357"/>
      <c r="E33" s="357"/>
      <c r="F33" s="357"/>
      <c r="G33" s="357"/>
      <c r="H33" s="357"/>
    </row>
    <row r="34" spans="1:8">
      <c r="A34" s="111"/>
      <c r="B34" s="350" t="s">
        <v>16</v>
      </c>
      <c r="C34" s="351"/>
      <c r="D34" s="351"/>
      <c r="E34" s="351"/>
      <c r="F34" s="351"/>
      <c r="G34" s="351"/>
      <c r="H34" s="351"/>
    </row>
    <row r="35" spans="1:8">
      <c r="A35" s="106"/>
      <c r="B35" s="352"/>
      <c r="C35" s="355"/>
      <c r="D35" s="355"/>
      <c r="E35" s="353"/>
      <c r="F35" s="353"/>
      <c r="G35" s="353"/>
      <c r="H35" s="353"/>
    </row>
    <row r="36" spans="1:8">
      <c r="A36" s="106"/>
      <c r="B36" s="207" t="s">
        <v>17</v>
      </c>
      <c r="C36" s="233"/>
      <c r="D36" s="222"/>
      <c r="E36" s="165"/>
      <c r="F36" s="165"/>
      <c r="G36" s="378" t="s">
        <v>2</v>
      </c>
      <c r="H36" s="359"/>
    </row>
    <row r="37" spans="1:8">
      <c r="A37" s="106"/>
      <c r="B37" s="136" t="s">
        <v>18</v>
      </c>
      <c r="C37" s="166"/>
      <c r="D37" s="166"/>
      <c r="E37" s="166"/>
      <c r="F37" s="166"/>
      <c r="G37" s="374">
        <v>0</v>
      </c>
      <c r="H37" s="371"/>
    </row>
    <row r="38" spans="1:8">
      <c r="A38" s="106"/>
      <c r="B38" s="136" t="s">
        <v>19</v>
      </c>
      <c r="C38" s="166"/>
      <c r="D38" s="166"/>
      <c r="E38" s="166"/>
      <c r="F38" s="166"/>
      <c r="G38" s="374">
        <v>0</v>
      </c>
      <c r="H38" s="371"/>
    </row>
    <row r="39" spans="1:8">
      <c r="A39" s="106"/>
      <c r="B39" s="136" t="s">
        <v>231</v>
      </c>
      <c r="C39" s="166"/>
      <c r="D39" s="166"/>
      <c r="E39" s="166"/>
      <c r="F39" s="166"/>
      <c r="G39" s="374">
        <v>0</v>
      </c>
      <c r="H39" s="371"/>
    </row>
    <row r="40" spans="1:8">
      <c r="A40" s="106"/>
      <c r="B40" s="136" t="s">
        <v>230</v>
      </c>
      <c r="C40" s="166"/>
      <c r="D40" s="166"/>
      <c r="E40" s="166"/>
      <c r="F40" s="166"/>
      <c r="G40" s="374">
        <v>0.15</v>
      </c>
      <c r="H40" s="371"/>
    </row>
    <row r="41" spans="1:8">
      <c r="A41" s="106"/>
      <c r="B41" s="136" t="s">
        <v>229</v>
      </c>
      <c r="C41" s="166"/>
      <c r="D41" s="166"/>
      <c r="E41" s="166"/>
      <c r="F41" s="166"/>
      <c r="G41" s="374">
        <v>0</v>
      </c>
      <c r="H41" s="371"/>
    </row>
    <row r="42" spans="1:8">
      <c r="A42" s="106"/>
      <c r="B42" s="136" t="s">
        <v>20</v>
      </c>
      <c r="C42" s="166"/>
      <c r="D42" s="166"/>
      <c r="E42" s="166"/>
      <c r="F42" s="166"/>
      <c r="G42" s="374">
        <v>273894.40999999997</v>
      </c>
      <c r="H42" s="371"/>
    </row>
    <row r="43" spans="1:8">
      <c r="A43" s="106"/>
      <c r="B43" s="136" t="s">
        <v>21</v>
      </c>
      <c r="C43" s="166"/>
      <c r="D43" s="166"/>
      <c r="E43" s="166"/>
      <c r="F43" s="166"/>
      <c r="G43" s="374">
        <v>24428.32</v>
      </c>
      <c r="H43" s="371"/>
    </row>
    <row r="44" spans="1:8">
      <c r="A44" s="106"/>
      <c r="B44" s="136" t="s">
        <v>22</v>
      </c>
      <c r="C44" s="166"/>
      <c r="D44" s="166"/>
      <c r="E44" s="166"/>
      <c r="F44" s="166"/>
      <c r="G44" s="374">
        <v>219.81</v>
      </c>
      <c r="H44" s="371"/>
    </row>
    <row r="45" spans="1:8">
      <c r="A45" s="106"/>
      <c r="B45" s="153" t="s">
        <v>23</v>
      </c>
      <c r="C45" s="165"/>
      <c r="D45" s="165"/>
      <c r="E45" s="165"/>
      <c r="F45" s="165"/>
      <c r="G45" s="375">
        <f>SUM(G37:G44)</f>
        <v>298542.69</v>
      </c>
      <c r="H45" s="373"/>
    </row>
    <row r="46" spans="1:8">
      <c r="A46" s="106"/>
      <c r="B46" s="106"/>
      <c r="C46" s="106"/>
      <c r="D46" s="106"/>
      <c r="E46" s="106"/>
      <c r="F46" s="150"/>
      <c r="G46" s="209"/>
      <c r="H46" s="209"/>
    </row>
    <row r="47" spans="1:8">
      <c r="A47" s="106"/>
      <c r="B47" s="153" t="s">
        <v>24</v>
      </c>
      <c r="C47" s="165"/>
      <c r="D47" s="165"/>
      <c r="E47" s="165"/>
      <c r="F47" s="165"/>
      <c r="G47" s="378" t="s">
        <v>2</v>
      </c>
      <c r="H47" s="359"/>
    </row>
    <row r="48" spans="1:8">
      <c r="A48" s="106"/>
      <c r="B48" s="136" t="s">
        <v>25</v>
      </c>
      <c r="C48" s="166"/>
      <c r="D48" s="166"/>
      <c r="E48" s="166"/>
      <c r="F48" s="166"/>
      <c r="G48" s="379">
        <f>1398289.22+7522790.15+5207494.95+2316966.11+3291374.51+381420.73+1113954.87+478549.31+1342745.62+69314.13</f>
        <v>23122899.599999998</v>
      </c>
      <c r="H48" s="380"/>
    </row>
    <row r="49" spans="1:8">
      <c r="B49" s="136" t="s">
        <v>26</v>
      </c>
      <c r="C49" s="166"/>
      <c r="D49" s="166"/>
      <c r="E49" s="166"/>
      <c r="F49" s="166"/>
      <c r="G49" s="379">
        <f>7362957.35+943217.06+1650474.3+947914.54</f>
        <v>10904563.25</v>
      </c>
      <c r="H49" s="380"/>
    </row>
    <row r="50" spans="1:8">
      <c r="B50" s="136" t="s">
        <v>200</v>
      </c>
      <c r="C50" s="166"/>
      <c r="D50" s="166"/>
      <c r="E50" s="166"/>
      <c r="F50" s="166"/>
      <c r="G50" s="379">
        <v>10537772.92</v>
      </c>
      <c r="H50" s="380"/>
    </row>
    <row r="51" spans="1:8">
      <c r="B51" s="136" t="s">
        <v>206</v>
      </c>
      <c r="C51" s="166"/>
      <c r="D51" s="166"/>
      <c r="E51" s="166"/>
      <c r="F51" s="166"/>
      <c r="G51" s="379">
        <v>10197507.289999999</v>
      </c>
      <c r="H51" s="380"/>
    </row>
    <row r="52" spans="1:8">
      <c r="B52" s="136" t="s">
        <v>243</v>
      </c>
      <c r="C52" s="166"/>
      <c r="D52" s="166"/>
      <c r="E52" s="166"/>
      <c r="F52" s="206"/>
      <c r="G52" s="235"/>
      <c r="H52" s="236">
        <v>5198604.66</v>
      </c>
    </row>
    <row r="53" spans="1:8">
      <c r="B53" s="136" t="s">
        <v>237</v>
      </c>
      <c r="C53" s="166"/>
      <c r="D53" s="166"/>
      <c r="E53" s="166"/>
      <c r="F53" s="206"/>
      <c r="G53" s="235"/>
      <c r="H53" s="236">
        <v>5043012.91</v>
      </c>
    </row>
    <row r="54" spans="1:8">
      <c r="B54" s="136" t="s">
        <v>131</v>
      </c>
      <c r="C54" s="166"/>
      <c r="D54" s="166"/>
      <c r="E54" s="166"/>
      <c r="F54" s="166"/>
      <c r="G54" s="379">
        <v>250399.31</v>
      </c>
      <c r="H54" s="380"/>
    </row>
    <row r="55" spans="1:8">
      <c r="B55" s="153" t="s">
        <v>28</v>
      </c>
      <c r="C55" s="165"/>
      <c r="D55" s="165"/>
      <c r="E55" s="165"/>
      <c r="F55" s="165"/>
      <c r="G55" s="381">
        <f>SUM(G48:H54)</f>
        <v>65254759.939999998</v>
      </c>
      <c r="H55" s="382"/>
    </row>
    <row r="56" spans="1:8">
      <c r="B56" s="131"/>
      <c r="C56" s="131"/>
      <c r="D56" s="131"/>
      <c r="E56" s="131"/>
      <c r="F56" s="132"/>
      <c r="G56" s="210"/>
      <c r="H56" s="210"/>
    </row>
    <row r="57" spans="1:8">
      <c r="B57" s="125" t="s">
        <v>29</v>
      </c>
      <c r="C57" s="225"/>
      <c r="D57" s="223"/>
      <c r="E57" s="221"/>
      <c r="F57" s="125"/>
      <c r="G57" s="376">
        <f>G55+G45</f>
        <v>65553302.629999995</v>
      </c>
      <c r="H57" s="377"/>
    </row>
    <row r="58" spans="1:8" ht="16.5" thickBot="1">
      <c r="B58" s="106"/>
      <c r="C58" s="106"/>
      <c r="D58" s="106"/>
      <c r="E58" s="106"/>
      <c r="F58" s="109"/>
      <c r="G58" s="109"/>
      <c r="H58" s="109"/>
    </row>
    <row r="59" spans="1:8" thickBot="1">
      <c r="A59" s="211"/>
      <c r="B59" s="212" t="s">
        <v>226</v>
      </c>
      <c r="C59" s="213"/>
      <c r="D59" s="213"/>
      <c r="E59" s="213"/>
      <c r="F59" s="214"/>
      <c r="G59" s="214"/>
      <c r="H59" s="215"/>
    </row>
    <row r="60" spans="1:8" thickBot="1">
      <c r="A60" s="211"/>
      <c r="B60" s="216"/>
      <c r="C60" s="216"/>
      <c r="D60" s="216"/>
      <c r="E60" s="216"/>
      <c r="F60" s="217"/>
      <c r="G60" s="217"/>
      <c r="H60" s="217"/>
    </row>
    <row r="61" spans="1:8" thickBot="1">
      <c r="A61" s="211"/>
      <c r="B61" s="224" t="s">
        <v>255</v>
      </c>
      <c r="C61" s="226"/>
      <c r="D61" s="213"/>
      <c r="E61" s="218"/>
      <c r="F61" s="219"/>
      <c r="G61" s="219"/>
      <c r="H61" s="220"/>
    </row>
    <row r="62" spans="1:8">
      <c r="B62" s="106"/>
      <c r="C62" s="106"/>
      <c r="D62" s="106"/>
      <c r="E62" s="106"/>
      <c r="G62" s="109"/>
      <c r="H62" s="109"/>
    </row>
    <row r="63" spans="1:8">
      <c r="B63" s="106"/>
      <c r="C63" s="106"/>
      <c r="D63" s="106"/>
      <c r="E63" s="106"/>
      <c r="F63" s="106"/>
      <c r="G63" s="186"/>
    </row>
    <row r="64" spans="1:8">
      <c r="B64" s="106"/>
      <c r="C64" s="106"/>
      <c r="D64" s="106"/>
      <c r="E64" s="106"/>
      <c r="F64" s="106"/>
      <c r="G64" s="106"/>
    </row>
    <row r="65" spans="2:7">
      <c r="B65" s="339"/>
      <c r="C65" s="339"/>
      <c r="D65" s="339"/>
      <c r="E65" s="339"/>
      <c r="F65" s="339"/>
      <c r="G65" s="339"/>
    </row>
  </sheetData>
  <mergeCells count="23">
    <mergeCell ref="G51:H51"/>
    <mergeCell ref="G54:H54"/>
    <mergeCell ref="G55:H55"/>
    <mergeCell ref="G57:H57"/>
    <mergeCell ref="B65:G65"/>
    <mergeCell ref="G50:H50"/>
    <mergeCell ref="G38:H38"/>
    <mergeCell ref="G39:H39"/>
    <mergeCell ref="G40:H40"/>
    <mergeCell ref="G41:H41"/>
    <mergeCell ref="G42:H42"/>
    <mergeCell ref="G43:H43"/>
    <mergeCell ref="G44:H44"/>
    <mergeCell ref="G45:H45"/>
    <mergeCell ref="G47:H47"/>
    <mergeCell ref="G48:H48"/>
    <mergeCell ref="G49:H49"/>
    <mergeCell ref="G37:H37"/>
    <mergeCell ref="B7:H8"/>
    <mergeCell ref="B22:H23"/>
    <mergeCell ref="B33:H33"/>
    <mergeCell ref="B34:H35"/>
    <mergeCell ref="G36:H36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M65"/>
  <sheetViews>
    <sheetView showGridLines="0" topLeftCell="A49" workbookViewId="0">
      <selection activeCell="A59" sqref="A59:XFD61"/>
    </sheetView>
  </sheetViews>
  <sheetFormatPr defaultRowHeight="15.75"/>
  <cols>
    <col min="1" max="1" width="2.5703125" style="108" customWidth="1"/>
    <col min="2" max="2" width="66.140625" style="108" customWidth="1"/>
    <col min="3" max="4" width="20" style="108" customWidth="1"/>
    <col min="5" max="5" width="20.28515625" style="108" customWidth="1"/>
    <col min="6" max="6" width="21.140625" style="108" customWidth="1"/>
    <col min="7" max="7" width="20" style="108" customWidth="1"/>
    <col min="8" max="9" width="20" style="108" bestFit="1" customWidth="1"/>
    <col min="11" max="11" width="18.42578125" customWidth="1"/>
    <col min="12" max="13" width="15.42578125" bestFit="1" customWidth="1"/>
  </cols>
  <sheetData>
    <row r="1" spans="1:9">
      <c r="A1" s="106" t="s">
        <v>118</v>
      </c>
      <c r="B1" s="106"/>
      <c r="C1" s="106"/>
      <c r="D1" s="106"/>
      <c r="E1" s="106"/>
      <c r="F1" s="106"/>
      <c r="G1" s="109"/>
      <c r="H1" s="109"/>
      <c r="I1" s="109"/>
    </row>
    <row r="2" spans="1:9">
      <c r="A2" s="106"/>
      <c r="B2" s="106"/>
      <c r="C2" s="106"/>
      <c r="D2" s="106"/>
      <c r="E2" s="106"/>
      <c r="F2" s="106"/>
      <c r="G2" s="109"/>
      <c r="H2" s="109"/>
      <c r="I2" s="109"/>
    </row>
    <row r="3" spans="1:9">
      <c r="A3" s="106"/>
      <c r="B3" s="106"/>
      <c r="C3" s="106"/>
      <c r="D3" s="106"/>
      <c r="E3" s="106"/>
      <c r="F3" s="106"/>
      <c r="G3" s="109"/>
      <c r="H3" s="109"/>
      <c r="I3" s="109"/>
    </row>
    <row r="4" spans="1:9">
      <c r="A4" s="106"/>
      <c r="B4" s="106"/>
      <c r="C4" s="106"/>
      <c r="D4" s="106"/>
      <c r="E4" s="106"/>
      <c r="F4" s="106"/>
      <c r="G4" s="109"/>
      <c r="H4" s="109"/>
      <c r="I4" s="109"/>
    </row>
    <row r="5" spans="1:9">
      <c r="A5" s="106"/>
      <c r="B5" s="106"/>
      <c r="C5" s="106"/>
      <c r="D5" s="106"/>
      <c r="E5" s="106"/>
      <c r="F5" s="106"/>
      <c r="G5" s="109"/>
      <c r="H5" s="109"/>
      <c r="I5" s="109"/>
    </row>
    <row r="6" spans="1:9">
      <c r="A6" s="140"/>
      <c r="B6" s="139" t="s">
        <v>0</v>
      </c>
      <c r="C6" s="139" t="s">
        <v>69</v>
      </c>
      <c r="D6" s="139" t="s">
        <v>61</v>
      </c>
      <c r="E6" s="139" t="s">
        <v>53</v>
      </c>
      <c r="F6" s="139" t="s">
        <v>44</v>
      </c>
      <c r="G6" s="139" t="s">
        <v>151</v>
      </c>
      <c r="H6" s="139" t="s">
        <v>31</v>
      </c>
      <c r="I6" s="139">
        <v>2023</v>
      </c>
    </row>
    <row r="7" spans="1:9">
      <c r="A7" s="111"/>
      <c r="B7" s="350" t="s">
        <v>127</v>
      </c>
      <c r="C7" s="351"/>
      <c r="D7" s="351"/>
      <c r="E7" s="351"/>
      <c r="F7" s="351"/>
      <c r="G7" s="351"/>
      <c r="H7" s="351"/>
      <c r="I7" s="351"/>
    </row>
    <row r="8" spans="1:9">
      <c r="A8" s="111"/>
      <c r="B8" s="352"/>
      <c r="C8" s="355"/>
      <c r="D8" s="355"/>
      <c r="E8" s="353"/>
      <c r="F8" s="353"/>
      <c r="G8" s="353"/>
      <c r="H8" s="353"/>
      <c r="I8" s="353"/>
    </row>
    <row r="9" spans="1:9">
      <c r="A9" s="111"/>
      <c r="B9" s="239" t="s">
        <v>120</v>
      </c>
      <c r="C9" s="232" t="s">
        <v>2</v>
      </c>
      <c r="D9" s="232" t="s">
        <v>2</v>
      </c>
      <c r="E9" s="229" t="s">
        <v>2</v>
      </c>
      <c r="F9" s="178" t="s">
        <v>2</v>
      </c>
      <c r="G9" s="178" t="s">
        <v>2</v>
      </c>
      <c r="H9" s="118" t="s">
        <v>2</v>
      </c>
      <c r="I9" s="118" t="s">
        <v>2</v>
      </c>
    </row>
    <row r="10" spans="1:9">
      <c r="A10" s="106"/>
      <c r="B10" s="238" t="s">
        <v>3</v>
      </c>
      <c r="C10" s="230">
        <f>844221.94+37711.75</f>
        <v>881933.69</v>
      </c>
      <c r="D10" s="230">
        <f>664622.33+8395.67</f>
        <v>673018</v>
      </c>
      <c r="E10" s="230">
        <f>665990.74+8273.92</f>
        <v>674264.66</v>
      </c>
      <c r="F10" s="204">
        <f>780898.41+5940.42</f>
        <v>786838.83000000007</v>
      </c>
      <c r="G10" s="138">
        <f>480832.95+8378.97</f>
        <v>489211.92</v>
      </c>
      <c r="H10" s="201">
        <f>596496.7+8359.7</f>
        <v>604856.39999999991</v>
      </c>
      <c r="I10" s="138">
        <f>SUM(C10:H10)</f>
        <v>4110123.5</v>
      </c>
    </row>
    <row r="11" spans="1:9">
      <c r="A11" s="106"/>
      <c r="B11" s="238" t="s">
        <v>4</v>
      </c>
      <c r="C11" s="230">
        <v>561230.71</v>
      </c>
      <c r="D11" s="230">
        <v>428284.2</v>
      </c>
      <c r="E11" s="230">
        <v>429077.63</v>
      </c>
      <c r="F11" s="204">
        <v>517389.2</v>
      </c>
      <c r="G11" s="138">
        <v>294643.45</v>
      </c>
      <c r="H11" s="202">
        <v>364738.73</v>
      </c>
      <c r="I11" s="138">
        <f t="shared" ref="I11:I19" si="0">SUM(C11:H11)</f>
        <v>2595363.92</v>
      </c>
    </row>
    <row r="12" spans="1:9">
      <c r="A12" s="106"/>
      <c r="B12" s="238" t="s">
        <v>256</v>
      </c>
      <c r="C12" s="230">
        <v>520893.27</v>
      </c>
      <c r="D12" s="230">
        <v>263303.75</v>
      </c>
      <c r="E12" s="230">
        <v>263303.75</v>
      </c>
      <c r="F12" s="204">
        <v>263303.75</v>
      </c>
      <c r="G12" s="138">
        <v>263303.75</v>
      </c>
      <c r="H12" s="198">
        <v>263303.75</v>
      </c>
      <c r="I12" s="138">
        <f t="shared" si="0"/>
        <v>1837412.02</v>
      </c>
    </row>
    <row r="13" spans="1:9">
      <c r="A13" s="106"/>
      <c r="B13" s="238" t="s">
        <v>6</v>
      </c>
      <c r="C13" s="230">
        <v>230912.69</v>
      </c>
      <c r="D13" s="230">
        <v>448923.9</v>
      </c>
      <c r="E13" s="230">
        <v>4493.3900000000003</v>
      </c>
      <c r="F13" s="204">
        <f>0.15-13910.81</f>
        <v>-13910.66</v>
      </c>
      <c r="G13" s="138">
        <v>409631.92</v>
      </c>
      <c r="H13" s="198">
        <f>632576.86-25105.62</f>
        <v>607471.24</v>
      </c>
      <c r="I13" s="138">
        <f t="shared" si="0"/>
        <v>1687522.48</v>
      </c>
    </row>
    <row r="14" spans="1:9">
      <c r="A14" s="106"/>
      <c r="B14" s="238" t="s">
        <v>260</v>
      </c>
      <c r="C14" s="230">
        <v>59551.65</v>
      </c>
      <c r="D14" s="230">
        <v>59237.69</v>
      </c>
      <c r="E14" s="230">
        <v>58860.98</v>
      </c>
      <c r="F14" s="204">
        <v>58411.22</v>
      </c>
      <c r="G14" s="204">
        <v>58143.75</v>
      </c>
      <c r="H14" s="199">
        <v>57745.31</v>
      </c>
      <c r="I14" s="138">
        <f t="shared" si="0"/>
        <v>351950.60000000003</v>
      </c>
    </row>
    <row r="15" spans="1:9">
      <c r="A15" s="106"/>
      <c r="B15" s="238" t="s">
        <v>257</v>
      </c>
      <c r="C15" s="230">
        <f>13914.07</f>
        <v>13914.07</v>
      </c>
      <c r="D15" s="230">
        <v>13771.83</v>
      </c>
      <c r="E15" s="230">
        <v>13616.57</v>
      </c>
      <c r="F15" s="204">
        <v>13445.4</v>
      </c>
      <c r="G15" s="204">
        <v>13318.11</v>
      </c>
      <c r="H15" s="199">
        <v>13251.74</v>
      </c>
      <c r="I15" s="138">
        <f t="shared" si="0"/>
        <v>81317.720000000016</v>
      </c>
    </row>
    <row r="16" spans="1:9">
      <c r="A16" s="106"/>
      <c r="B16" s="238" t="s">
        <v>258</v>
      </c>
      <c r="C16" s="230">
        <v>5800.84</v>
      </c>
      <c r="D16" s="230">
        <v>5741.52</v>
      </c>
      <c r="E16" s="230">
        <v>5676.81</v>
      </c>
      <c r="F16" s="204">
        <v>5605.43</v>
      </c>
      <c r="G16" s="204">
        <v>5552.37</v>
      </c>
      <c r="H16" s="199">
        <v>5524.7</v>
      </c>
      <c r="I16" s="138">
        <f t="shared" si="0"/>
        <v>33901.67</v>
      </c>
    </row>
    <row r="17" spans="1:11">
      <c r="A17" s="106"/>
      <c r="B17" s="238" t="s">
        <v>259</v>
      </c>
      <c r="C17" s="230">
        <v>19875.27</v>
      </c>
      <c r="D17" s="230">
        <v>19672.55</v>
      </c>
      <c r="E17" s="230">
        <v>19449.22</v>
      </c>
      <c r="F17" s="204">
        <v>19205.7</v>
      </c>
      <c r="G17" s="204">
        <v>19021.29</v>
      </c>
      <c r="H17" s="199">
        <v>18926.32</v>
      </c>
      <c r="I17" s="138">
        <f t="shared" si="0"/>
        <v>116150.35</v>
      </c>
    </row>
    <row r="18" spans="1:11">
      <c r="A18" s="106"/>
      <c r="B18" s="158" t="s">
        <v>7</v>
      </c>
      <c r="C18" s="204">
        <v>14297.67</v>
      </c>
      <c r="D18" s="230">
        <v>28595.34</v>
      </c>
      <c r="E18" s="230">
        <v>0</v>
      </c>
      <c r="F18" s="204">
        <v>14297.67</v>
      </c>
      <c r="G18" s="204">
        <v>13497.43</v>
      </c>
      <c r="H18" s="199">
        <v>313284.2</v>
      </c>
      <c r="I18" s="138">
        <f t="shared" si="0"/>
        <v>383972.31</v>
      </c>
    </row>
    <row r="19" spans="1:11">
      <c r="A19" s="106"/>
      <c r="B19" s="238" t="s">
        <v>149</v>
      </c>
      <c r="C19" s="230">
        <v>3111.48</v>
      </c>
      <c r="D19" s="230">
        <v>2240.9</v>
      </c>
      <c r="E19" s="230">
        <v>0</v>
      </c>
      <c r="F19" s="204">
        <v>6223.26</v>
      </c>
      <c r="G19" s="204">
        <v>0</v>
      </c>
      <c r="H19" s="199">
        <v>0</v>
      </c>
      <c r="I19" s="138">
        <f t="shared" si="0"/>
        <v>11575.64</v>
      </c>
    </row>
    <row r="20" spans="1:11">
      <c r="A20" s="111"/>
      <c r="B20" s="237" t="s">
        <v>9</v>
      </c>
      <c r="C20" s="243">
        <f t="shared" ref="C20" si="1">SUM(C10:C19)</f>
        <v>2311521.3399999994</v>
      </c>
      <c r="D20" s="231">
        <f t="shared" ref="D20:I20" si="2">SUM(D10:D19)</f>
        <v>1942789.6800000002</v>
      </c>
      <c r="E20" s="231">
        <f t="shared" si="2"/>
        <v>1468743.01</v>
      </c>
      <c r="F20" s="203">
        <f t="shared" si="2"/>
        <v>1670809.7999999998</v>
      </c>
      <c r="G20" s="203">
        <f t="shared" si="2"/>
        <v>1566323.9900000002</v>
      </c>
      <c r="H20" s="117">
        <f t="shared" si="2"/>
        <v>2249102.39</v>
      </c>
      <c r="I20" s="117">
        <f t="shared" si="2"/>
        <v>11209290.210000001</v>
      </c>
    </row>
    <row r="21" spans="1:11">
      <c r="A21" s="106"/>
      <c r="B21" s="106"/>
      <c r="C21" s="106"/>
      <c r="D21" s="106"/>
      <c r="E21" s="106"/>
      <c r="F21" s="143"/>
      <c r="G21" s="109"/>
      <c r="H21" s="109"/>
      <c r="I21" s="109"/>
    </row>
    <row r="22" spans="1:11">
      <c r="A22" s="111"/>
      <c r="B22" s="350" t="s">
        <v>128</v>
      </c>
      <c r="C22" s="351"/>
      <c r="D22" s="351"/>
      <c r="E22" s="351"/>
      <c r="F22" s="351"/>
      <c r="G22" s="351"/>
      <c r="H22" s="351"/>
      <c r="I22" s="351"/>
    </row>
    <row r="23" spans="1:11">
      <c r="A23" s="106"/>
      <c r="B23" s="352"/>
      <c r="C23" s="353"/>
      <c r="D23" s="353"/>
      <c r="E23" s="353"/>
      <c r="F23" s="353"/>
      <c r="G23" s="353"/>
      <c r="H23" s="353"/>
      <c r="I23" s="353"/>
    </row>
    <row r="24" spans="1:11">
      <c r="A24" s="106"/>
      <c r="B24" s="118" t="s">
        <v>121</v>
      </c>
      <c r="C24" s="118" t="s">
        <v>2</v>
      </c>
      <c r="D24" s="118" t="s">
        <v>2</v>
      </c>
      <c r="E24" s="118" t="s">
        <v>2</v>
      </c>
      <c r="F24" s="118" t="s">
        <v>2</v>
      </c>
      <c r="G24" s="118" t="s">
        <v>2</v>
      </c>
      <c r="H24" s="118" t="s">
        <v>2</v>
      </c>
      <c r="I24" s="118" t="s">
        <v>2</v>
      </c>
      <c r="K24" s="188"/>
    </row>
    <row r="25" spans="1:11">
      <c r="A25" s="106"/>
      <c r="B25" s="114" t="s">
        <v>261</v>
      </c>
      <c r="C25" s="189">
        <v>1051770.73</v>
      </c>
      <c r="D25" s="189">
        <v>827737.05</v>
      </c>
      <c r="E25" s="189">
        <v>665086.01</v>
      </c>
      <c r="F25" s="115">
        <v>653828.48</v>
      </c>
      <c r="G25" s="115">
        <v>623073.82999999996</v>
      </c>
      <c r="H25" s="115">
        <v>628352.19999999995</v>
      </c>
      <c r="I25" s="115">
        <f>SUM(C25:H25)</f>
        <v>4449848.3</v>
      </c>
    </row>
    <row r="26" spans="1:11">
      <c r="A26" s="106"/>
      <c r="B26" s="114" t="s">
        <v>262</v>
      </c>
      <c r="C26" s="189">
        <v>116408.61</v>
      </c>
      <c r="D26" s="189">
        <v>74419.42</v>
      </c>
      <c r="E26" s="189">
        <v>72346.3</v>
      </c>
      <c r="F26" s="115">
        <v>72346.3</v>
      </c>
      <c r="G26" s="115">
        <v>71877.13</v>
      </c>
      <c r="H26" s="115">
        <v>72215.28</v>
      </c>
      <c r="I26" s="115">
        <f t="shared" ref="I26:I29" si="3">SUM(C26:H26)</f>
        <v>479613.04000000004</v>
      </c>
      <c r="K26" s="205"/>
    </row>
    <row r="27" spans="1:11">
      <c r="A27" s="106"/>
      <c r="B27" s="114" t="s">
        <v>171</v>
      </c>
      <c r="C27" s="190">
        <v>54689.06</v>
      </c>
      <c r="D27" s="190">
        <v>73931.69</v>
      </c>
      <c r="E27" s="190">
        <v>46891.27</v>
      </c>
      <c r="F27" s="119">
        <v>61618.25</v>
      </c>
      <c r="G27" s="119">
        <v>38036.89</v>
      </c>
      <c r="H27" s="119">
        <v>31403.3</v>
      </c>
      <c r="I27" s="115">
        <f t="shared" si="3"/>
        <v>306570.45999999996</v>
      </c>
      <c r="K27" s="188"/>
    </row>
    <row r="28" spans="1:11">
      <c r="A28" s="106"/>
      <c r="B28" s="114" t="s">
        <v>13</v>
      </c>
      <c r="C28" s="189">
        <f>1514.24+268.7</f>
        <v>1782.94</v>
      </c>
      <c r="D28" s="189">
        <v>3297.86</v>
      </c>
      <c r="E28" s="189">
        <v>268.7</v>
      </c>
      <c r="F28" s="115">
        <v>1782.94</v>
      </c>
      <c r="G28" s="115">
        <v>1683.17</v>
      </c>
      <c r="H28" s="115">
        <v>1683.17</v>
      </c>
      <c r="I28" s="115">
        <f t="shared" si="3"/>
        <v>10498.78</v>
      </c>
    </row>
    <row r="29" spans="1:11">
      <c r="A29" s="106"/>
      <c r="B29" s="114" t="s">
        <v>130</v>
      </c>
      <c r="C29" s="190">
        <v>45936.83</v>
      </c>
      <c r="D29" s="190">
        <v>35857.339999999997</v>
      </c>
      <c r="E29" s="190">
        <v>64228.92</v>
      </c>
      <c r="F29" s="119">
        <v>45631</v>
      </c>
      <c r="G29" s="119">
        <v>36903.89</v>
      </c>
      <c r="H29" s="119">
        <f>30236.81-7394.6</f>
        <v>22842.21</v>
      </c>
      <c r="I29" s="115">
        <f t="shared" si="3"/>
        <v>251400.18999999997</v>
      </c>
      <c r="K29" s="205"/>
    </row>
    <row r="30" spans="1:11">
      <c r="A30" s="111"/>
      <c r="B30" s="120" t="s">
        <v>84</v>
      </c>
      <c r="C30" s="241">
        <f t="shared" ref="C30" si="4">SUM(C25:C29)</f>
        <v>1270588.1700000002</v>
      </c>
      <c r="D30" s="121">
        <f t="shared" ref="D30:I30" si="5">SUM(D25:D29)</f>
        <v>1015243.3600000001</v>
      </c>
      <c r="E30" s="121">
        <f t="shared" si="5"/>
        <v>848821.20000000007</v>
      </c>
      <c r="F30" s="121">
        <f t="shared" si="5"/>
        <v>835206.97</v>
      </c>
      <c r="G30" s="121">
        <f t="shared" si="5"/>
        <v>771574.91</v>
      </c>
      <c r="H30" s="121">
        <f t="shared" si="5"/>
        <v>756496.16</v>
      </c>
      <c r="I30" s="121">
        <f t="shared" si="5"/>
        <v>5497930.7700000005</v>
      </c>
      <c r="K30" s="234"/>
    </row>
    <row r="31" spans="1:11">
      <c r="A31" s="111"/>
      <c r="B31" s="123" t="s">
        <v>14</v>
      </c>
      <c r="C31" s="242">
        <f t="shared" ref="C31:H31" si="6">C20-C30</f>
        <v>1040933.1699999992</v>
      </c>
      <c r="D31" s="124">
        <f t="shared" si="6"/>
        <v>927546.32000000007</v>
      </c>
      <c r="E31" s="124">
        <f t="shared" si="6"/>
        <v>619921.80999999994</v>
      </c>
      <c r="F31" s="124">
        <f t="shared" si="6"/>
        <v>835602.82999999984</v>
      </c>
      <c r="G31" s="124">
        <f t="shared" si="6"/>
        <v>794749.08000000019</v>
      </c>
      <c r="H31" s="124">
        <f t="shared" si="6"/>
        <v>1492606.23</v>
      </c>
      <c r="I31" s="124">
        <f>SUM(D31:H31)</f>
        <v>4670426.2699999996</v>
      </c>
      <c r="K31" s="184"/>
    </row>
    <row r="32" spans="1:11">
      <c r="A32" s="106"/>
      <c r="B32" s="106"/>
      <c r="C32" s="106"/>
      <c r="D32" s="106"/>
      <c r="E32" s="106"/>
      <c r="F32" s="143"/>
      <c r="G32" s="109"/>
      <c r="H32" s="109"/>
      <c r="I32" s="109"/>
    </row>
    <row r="33" spans="1:9">
      <c r="A33" s="111"/>
      <c r="B33" s="356" t="s">
        <v>15</v>
      </c>
      <c r="C33" s="357"/>
      <c r="D33" s="357"/>
      <c r="E33" s="357"/>
      <c r="F33" s="357"/>
      <c r="G33" s="357"/>
      <c r="H33" s="357"/>
      <c r="I33" s="357"/>
    </row>
    <row r="34" spans="1:9">
      <c r="A34" s="111"/>
      <c r="B34" s="350" t="s">
        <v>16</v>
      </c>
      <c r="C34" s="351"/>
      <c r="D34" s="351"/>
      <c r="E34" s="351"/>
      <c r="F34" s="351"/>
      <c r="G34" s="351"/>
      <c r="H34" s="351"/>
      <c r="I34" s="351"/>
    </row>
    <row r="35" spans="1:9">
      <c r="A35" s="106"/>
      <c r="B35" s="352"/>
      <c r="C35" s="355"/>
      <c r="D35" s="355"/>
      <c r="E35" s="355"/>
      <c r="F35" s="353"/>
      <c r="G35" s="353"/>
      <c r="H35" s="353"/>
      <c r="I35" s="353"/>
    </row>
    <row r="36" spans="1:9">
      <c r="A36" s="106"/>
      <c r="B36" s="207" t="s">
        <v>17</v>
      </c>
      <c r="C36" s="233"/>
      <c r="D36" s="233"/>
      <c r="E36" s="222"/>
      <c r="F36" s="165"/>
      <c r="G36" s="165"/>
      <c r="H36" s="383" t="s">
        <v>2</v>
      </c>
      <c r="I36" s="384"/>
    </row>
    <row r="37" spans="1:9">
      <c r="A37" s="106"/>
      <c r="B37" s="136" t="s">
        <v>18</v>
      </c>
      <c r="C37" s="166"/>
      <c r="D37" s="166"/>
      <c r="E37" s="166"/>
      <c r="F37" s="166"/>
      <c r="G37" s="166"/>
      <c r="H37" s="374">
        <v>0</v>
      </c>
      <c r="I37" s="371"/>
    </row>
    <row r="38" spans="1:9">
      <c r="A38" s="106"/>
      <c r="B38" s="136" t="s">
        <v>19</v>
      </c>
      <c r="C38" s="166"/>
      <c r="D38" s="166"/>
      <c r="E38" s="166"/>
      <c r="F38" s="166"/>
      <c r="G38" s="166"/>
      <c r="H38" s="374">
        <v>0</v>
      </c>
      <c r="I38" s="371"/>
    </row>
    <row r="39" spans="1:9">
      <c r="A39" s="106"/>
      <c r="B39" s="136" t="s">
        <v>231</v>
      </c>
      <c r="C39" s="166"/>
      <c r="D39" s="166"/>
      <c r="E39" s="166"/>
      <c r="F39" s="166"/>
      <c r="G39" s="166"/>
      <c r="H39" s="374">
        <v>0</v>
      </c>
      <c r="I39" s="371"/>
    </row>
    <row r="40" spans="1:9">
      <c r="A40" s="106"/>
      <c r="B40" s="136" t="s">
        <v>230</v>
      </c>
      <c r="C40" s="166"/>
      <c r="D40" s="166"/>
      <c r="E40" s="166"/>
      <c r="F40" s="166"/>
      <c r="G40" s="166"/>
      <c r="H40" s="374">
        <v>0.15</v>
      </c>
      <c r="I40" s="371"/>
    </row>
    <row r="41" spans="1:9">
      <c r="A41" s="106"/>
      <c r="B41" s="136" t="s">
        <v>229</v>
      </c>
      <c r="C41" s="166"/>
      <c r="D41" s="166"/>
      <c r="E41" s="166"/>
      <c r="F41" s="166"/>
      <c r="G41" s="166"/>
      <c r="H41" s="374">
        <v>0</v>
      </c>
      <c r="I41" s="371"/>
    </row>
    <row r="42" spans="1:9">
      <c r="A42" s="106"/>
      <c r="B42" s="136" t="s">
        <v>20</v>
      </c>
      <c r="C42" s="166"/>
      <c r="D42" s="166"/>
      <c r="E42" s="166"/>
      <c r="F42" s="166"/>
      <c r="G42" s="166"/>
      <c r="H42" s="374">
        <v>162631.26</v>
      </c>
      <c r="I42" s="371"/>
    </row>
    <row r="43" spans="1:9">
      <c r="A43" s="106"/>
      <c r="B43" s="136" t="s">
        <v>21</v>
      </c>
      <c r="C43" s="166"/>
      <c r="D43" s="166"/>
      <c r="E43" s="166"/>
      <c r="F43" s="166"/>
      <c r="G43" s="166"/>
      <c r="H43" s="374">
        <v>74478.84</v>
      </c>
      <c r="I43" s="371"/>
    </row>
    <row r="44" spans="1:9" s="246" customFormat="1">
      <c r="A44" s="244"/>
      <c r="B44" s="227" t="s">
        <v>22</v>
      </c>
      <c r="C44" s="245"/>
      <c r="D44" s="245"/>
      <c r="E44" s="245"/>
      <c r="F44" s="245"/>
      <c r="G44" s="245"/>
      <c r="H44" s="374">
        <v>58.08</v>
      </c>
      <c r="I44" s="371"/>
    </row>
    <row r="45" spans="1:9" s="246" customFormat="1">
      <c r="A45" s="244"/>
      <c r="B45" s="247" t="s">
        <v>23</v>
      </c>
      <c r="C45" s="248"/>
      <c r="D45" s="248"/>
      <c r="E45" s="248"/>
      <c r="F45" s="248"/>
      <c r="G45" s="248"/>
      <c r="H45" s="375">
        <f>SUM(H37:H44)</f>
        <v>237168.33</v>
      </c>
      <c r="I45" s="373"/>
    </row>
    <row r="46" spans="1:9" s="246" customFormat="1">
      <c r="A46" s="244"/>
      <c r="B46" s="244"/>
      <c r="C46" s="244"/>
      <c r="D46" s="244"/>
      <c r="E46" s="244"/>
      <c r="F46" s="244"/>
      <c r="G46" s="249"/>
      <c r="H46" s="249"/>
      <c r="I46" s="249"/>
    </row>
    <row r="47" spans="1:9" s="246" customFormat="1">
      <c r="A47" s="244"/>
      <c r="B47" s="247" t="s">
        <v>24</v>
      </c>
      <c r="C47" s="248"/>
      <c r="D47" s="248"/>
      <c r="E47" s="248"/>
      <c r="F47" s="248"/>
      <c r="G47" s="248"/>
      <c r="H47" s="383" t="s">
        <v>2</v>
      </c>
      <c r="I47" s="384"/>
    </row>
    <row r="48" spans="1:9" s="246" customFormat="1">
      <c r="A48" s="244"/>
      <c r="B48" s="227" t="s">
        <v>25</v>
      </c>
      <c r="C48" s="245"/>
      <c r="D48" s="245"/>
      <c r="E48" s="245"/>
      <c r="F48" s="245"/>
      <c r="G48" s="245"/>
      <c r="H48" s="374">
        <f>1414467.85+8383376.71+5266242.38+2371494.79+3369500.81+418701.62+1212945.51+480789.34+1359158.17</f>
        <v>24276677.18</v>
      </c>
      <c r="I48" s="371"/>
    </row>
    <row r="49" spans="1:13" s="246" customFormat="1">
      <c r="A49" s="250"/>
      <c r="B49" s="227" t="s">
        <v>26</v>
      </c>
      <c r="C49" s="245"/>
      <c r="D49" s="245"/>
      <c r="E49" s="245"/>
      <c r="F49" s="245"/>
      <c r="G49" s="245"/>
      <c r="H49" s="374">
        <f>3448003.42+952833.17+1689624.55+4043342.21+70764.69+957850.98</f>
        <v>11162419.02</v>
      </c>
      <c r="I49" s="371"/>
    </row>
    <row r="50" spans="1:13" s="246" customFormat="1">
      <c r="A50" s="250"/>
      <c r="B50" s="227" t="s">
        <v>200</v>
      </c>
      <c r="C50" s="245"/>
      <c r="D50" s="245"/>
      <c r="E50" s="245"/>
      <c r="F50" s="245"/>
      <c r="G50" s="245"/>
      <c r="H50" s="374">
        <v>10585879</v>
      </c>
      <c r="I50" s="371"/>
      <c r="M50" s="251"/>
    </row>
    <row r="51" spans="1:13" s="246" customFormat="1">
      <c r="A51" s="250"/>
      <c r="B51" s="227" t="s">
        <v>206</v>
      </c>
      <c r="C51" s="245"/>
      <c r="D51" s="245"/>
      <c r="E51" s="245"/>
      <c r="F51" s="245"/>
      <c r="G51" s="245"/>
      <c r="H51" s="374">
        <v>10244278.24</v>
      </c>
      <c r="I51" s="371"/>
    </row>
    <row r="52" spans="1:13" s="246" customFormat="1">
      <c r="A52" s="250"/>
      <c r="B52" s="227" t="s">
        <v>243</v>
      </c>
      <c r="C52" s="245"/>
      <c r="D52" s="245"/>
      <c r="E52" s="245"/>
      <c r="F52" s="245"/>
      <c r="G52" s="206"/>
      <c r="H52" s="206"/>
      <c r="I52" s="240">
        <v>5224649.0999999996</v>
      </c>
    </row>
    <row r="53" spans="1:13" s="246" customFormat="1">
      <c r="A53" s="250"/>
      <c r="B53" s="227" t="s">
        <v>237</v>
      </c>
      <c r="C53" s="245"/>
      <c r="D53" s="245"/>
      <c r="E53" s="245"/>
      <c r="F53" s="245"/>
      <c r="G53" s="206"/>
      <c r="H53" s="206"/>
      <c r="I53" s="200">
        <v>5068395.74</v>
      </c>
    </row>
    <row r="54" spans="1:13" s="246" customFormat="1">
      <c r="A54" s="250"/>
      <c r="B54" s="227" t="s">
        <v>131</v>
      </c>
      <c r="C54" s="245"/>
      <c r="D54" s="245"/>
      <c r="E54" s="245"/>
      <c r="F54" s="245"/>
      <c r="G54" s="245"/>
      <c r="H54" s="374">
        <v>247848.4</v>
      </c>
      <c r="I54" s="371"/>
    </row>
    <row r="55" spans="1:13" s="246" customFormat="1">
      <c r="A55" s="250"/>
      <c r="B55" s="247" t="s">
        <v>28</v>
      </c>
      <c r="C55" s="248"/>
      <c r="D55" s="248"/>
      <c r="E55" s="248"/>
      <c r="F55" s="248"/>
      <c r="G55" s="248"/>
      <c r="H55" s="375">
        <f>SUM(H48:I54)</f>
        <v>66810146.680000007</v>
      </c>
      <c r="I55" s="373"/>
      <c r="L55" s="251">
        <f>H55+H45</f>
        <v>67047315.010000005</v>
      </c>
    </row>
    <row r="56" spans="1:13" s="246" customFormat="1">
      <c r="A56" s="250"/>
      <c r="B56" s="252"/>
      <c r="C56" s="252"/>
      <c r="D56" s="252"/>
      <c r="E56" s="252"/>
      <c r="F56" s="252"/>
      <c r="G56" s="210"/>
      <c r="H56" s="210"/>
      <c r="I56" s="210"/>
    </row>
    <row r="57" spans="1:13" s="267" customFormat="1">
      <c r="A57" s="262"/>
      <c r="B57" s="263" t="s">
        <v>29</v>
      </c>
      <c r="C57" s="264"/>
      <c r="D57" s="264"/>
      <c r="E57" s="265"/>
      <c r="F57" s="266"/>
      <c r="G57" s="263"/>
      <c r="H57" s="376">
        <f>H55+H45</f>
        <v>67047315.010000005</v>
      </c>
      <c r="I57" s="377"/>
    </row>
    <row r="58" spans="1:13" s="246" customFormat="1" ht="16.5" thickBot="1">
      <c r="A58" s="250"/>
      <c r="B58" s="244"/>
      <c r="C58" s="244"/>
      <c r="D58" s="244"/>
      <c r="E58" s="244"/>
      <c r="F58" s="244"/>
      <c r="G58" s="253"/>
      <c r="H58" s="253"/>
      <c r="I58" s="253"/>
    </row>
    <row r="59" spans="1:13" s="246" customFormat="1" thickBot="1">
      <c r="A59" s="254"/>
      <c r="B59" s="224" t="s">
        <v>226</v>
      </c>
      <c r="C59" s="226"/>
      <c r="D59" s="226"/>
      <c r="E59" s="226"/>
      <c r="F59" s="226"/>
      <c r="G59" s="255"/>
      <c r="H59" s="255"/>
      <c r="I59" s="256"/>
    </row>
    <row r="60" spans="1:13" s="246" customFormat="1" thickBot="1">
      <c r="A60" s="254"/>
      <c r="B60" s="257"/>
      <c r="C60" s="257"/>
      <c r="D60" s="257"/>
      <c r="E60" s="257"/>
      <c r="F60" s="257"/>
      <c r="G60" s="258"/>
      <c r="H60" s="258"/>
      <c r="I60" s="258"/>
    </row>
    <row r="61" spans="1:13" s="246" customFormat="1" thickBot="1">
      <c r="A61" s="254"/>
      <c r="B61" s="224" t="s">
        <v>263</v>
      </c>
      <c r="C61" s="226"/>
      <c r="D61" s="226"/>
      <c r="E61" s="226"/>
      <c r="F61" s="259"/>
      <c r="G61" s="260"/>
      <c r="H61" s="260"/>
      <c r="I61" s="261"/>
    </row>
    <row r="62" spans="1:13" s="246" customFormat="1">
      <c r="A62" s="250"/>
      <c r="B62" s="244"/>
      <c r="C62" s="244"/>
      <c r="D62" s="244"/>
      <c r="E62" s="244"/>
      <c r="F62" s="244"/>
      <c r="G62" s="250"/>
      <c r="H62" s="253"/>
      <c r="I62" s="253"/>
    </row>
    <row r="63" spans="1:13">
      <c r="B63" s="106"/>
      <c r="C63" s="106"/>
      <c r="D63" s="106"/>
      <c r="E63" s="106"/>
      <c r="F63" s="106"/>
      <c r="G63" s="106"/>
      <c r="H63" s="186"/>
    </row>
    <row r="64" spans="1:13">
      <c r="B64" s="106"/>
      <c r="C64" s="106"/>
      <c r="D64" s="106"/>
      <c r="E64" s="106"/>
      <c r="F64" s="106"/>
      <c r="G64" s="106"/>
      <c r="H64" s="106"/>
    </row>
    <row r="65" spans="2:8">
      <c r="B65" s="339"/>
      <c r="C65" s="339"/>
      <c r="D65" s="339"/>
      <c r="E65" s="339"/>
      <c r="F65" s="339"/>
      <c r="G65" s="339"/>
      <c r="H65" s="339"/>
    </row>
  </sheetData>
  <mergeCells count="23">
    <mergeCell ref="H51:I51"/>
    <mergeCell ref="H54:I54"/>
    <mergeCell ref="H55:I55"/>
    <mergeCell ref="H57:I57"/>
    <mergeCell ref="B65:H65"/>
    <mergeCell ref="H50:I50"/>
    <mergeCell ref="H38:I38"/>
    <mergeCell ref="H39:I39"/>
    <mergeCell ref="H40:I40"/>
    <mergeCell ref="H41:I41"/>
    <mergeCell ref="H42:I42"/>
    <mergeCell ref="H43:I43"/>
    <mergeCell ref="H44:I44"/>
    <mergeCell ref="H45:I45"/>
    <mergeCell ref="H47:I47"/>
    <mergeCell ref="H48:I48"/>
    <mergeCell ref="H49:I49"/>
    <mergeCell ref="H37:I37"/>
    <mergeCell ref="B7:I8"/>
    <mergeCell ref="B22:I23"/>
    <mergeCell ref="B33:I33"/>
    <mergeCell ref="B34:I35"/>
    <mergeCell ref="H36:I36"/>
  </mergeCells>
  <pageMargins left="0.511811024" right="0.511811024" top="0.78740157499999996" bottom="0.78740157499999996" header="0.31496062000000002" footer="0.31496062000000002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3.42578125" style="100" customWidth="1"/>
    <col min="5" max="5" width="16" style="5" customWidth="1"/>
    <col min="6" max="7" width="9.5703125" style="5" customWidth="1"/>
    <col min="8" max="8" width="14.140625" style="5" customWidth="1"/>
    <col min="9" max="9" width="12.140625" style="5" customWidth="1"/>
    <col min="10" max="10" width="16" style="5" customWidth="1"/>
    <col min="11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82"/>
      <c r="H1" s="337" t="s">
        <v>1</v>
      </c>
      <c r="I1" s="337"/>
      <c r="J1" s="337"/>
    </row>
    <row r="2" spans="1:20" ht="15.75" customHeight="1">
      <c r="A2" s="5"/>
      <c r="B2" s="84"/>
      <c r="C2" s="85"/>
      <c r="D2" s="86"/>
      <c r="H2" s="87" t="s">
        <v>44</v>
      </c>
      <c r="I2" s="87" t="s">
        <v>51</v>
      </c>
      <c r="J2" s="87" t="s">
        <v>52</v>
      </c>
    </row>
    <row r="3" spans="1:20" ht="15.75" customHeight="1">
      <c r="A3" s="5"/>
      <c r="B3" s="84"/>
      <c r="C3" s="85"/>
      <c r="D3" s="86"/>
      <c r="H3" s="83">
        <f>2865.55+13025.22+228922.64+2084.84+128300.06+84032.98+216603.29+230278.8+230454.26+5103.95</f>
        <v>1141671.5899999999</v>
      </c>
      <c r="I3" s="83">
        <f>3708.94+12807.11+229663.53+82460.16+126776.71+4258.15+2084.84+5994.43+5840.53+974.08+2299.66</f>
        <v>476868.14000000007</v>
      </c>
      <c r="J3" s="83">
        <f t="shared" ref="J3:J11" si="0">H3+I3</f>
        <v>1618539.73</v>
      </c>
    </row>
    <row r="4" spans="1:20" ht="15.75" customHeight="1">
      <c r="A4" s="5"/>
      <c r="B4" s="84"/>
      <c r="C4" s="85"/>
      <c r="D4" s="86"/>
      <c r="H4" s="83">
        <f>3150.25+8505.16+145678.01+81645.35+53475.53+3247.98</f>
        <v>295702.28000000003</v>
      </c>
      <c r="I4" s="83">
        <f>3686.95+8149.98+146149.45+80675.97+52474.67+2709.75+146652.65+27.48+2688.12+619.87+47767.29+80288.48</f>
        <v>571890.66</v>
      </c>
      <c r="J4" s="83">
        <f t="shared" si="0"/>
        <v>867592.94000000006</v>
      </c>
    </row>
    <row r="5" spans="1:20" ht="15.75" customHeight="1">
      <c r="A5" s="5"/>
      <c r="B5" s="88"/>
      <c r="C5" s="89"/>
      <c r="D5" s="90"/>
      <c r="H5" s="83">
        <v>110551.48</v>
      </c>
      <c r="I5" s="83">
        <f>H5*3</f>
        <v>331654.44</v>
      </c>
      <c r="J5" s="83">
        <f t="shared" si="0"/>
        <v>442205.92</v>
      </c>
    </row>
    <row r="6" spans="1:20" s="20" customFormat="1" ht="24.95" customHeight="1">
      <c r="A6" s="19"/>
      <c r="B6" s="333" t="s">
        <v>0</v>
      </c>
      <c r="C6" s="333"/>
      <c r="D6" s="333"/>
      <c r="E6" s="19"/>
      <c r="F6" s="19"/>
      <c r="G6" s="19"/>
      <c r="H6" s="83">
        <f>-83109.26+9149.53+123935.1+13411.06</f>
        <v>63386.430000000008</v>
      </c>
      <c r="I6" s="83">
        <f>-229103.77-376056.58</f>
        <v>-605160.35</v>
      </c>
      <c r="J6" s="83">
        <f t="shared" si="0"/>
        <v>-541773.91999999993</v>
      </c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334" t="s">
        <v>1</v>
      </c>
      <c r="C7" s="59" t="s">
        <v>53</v>
      </c>
      <c r="D7" s="60" t="s">
        <v>54</v>
      </c>
      <c r="E7" s="19"/>
      <c r="F7" s="19"/>
      <c r="G7" s="19"/>
      <c r="H7" s="83">
        <v>49959.32</v>
      </c>
      <c r="I7" s="83">
        <f>49824.79+49107.82</f>
        <v>98932.61</v>
      </c>
      <c r="J7" s="83">
        <f t="shared" si="0"/>
        <v>148891.93</v>
      </c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334"/>
      <c r="C8" s="60" t="s">
        <v>2</v>
      </c>
      <c r="D8" s="60" t="s">
        <v>2</v>
      </c>
      <c r="H8" s="83">
        <v>20938.599999999999</v>
      </c>
      <c r="I8" s="83">
        <f>20609.15+20213.01</f>
        <v>40822.160000000003</v>
      </c>
      <c r="J8" s="83">
        <f t="shared" si="0"/>
        <v>61760.76</v>
      </c>
    </row>
    <row r="9" spans="1:20" ht="17.100000000000001" customHeight="1">
      <c r="A9" s="5"/>
      <c r="B9" s="54" t="s">
        <v>3</v>
      </c>
      <c r="C9" s="24">
        <f>467714.23+14117.56+2760.37+2355.32</f>
        <v>486947.48</v>
      </c>
      <c r="D9" s="55">
        <f t="shared" ref="D9:D16" si="1">J3</f>
        <v>1618539.73</v>
      </c>
      <c r="E9" s="91">
        <f t="shared" ref="E9:E19" si="2">D9+C9</f>
        <v>2105487.21</v>
      </c>
      <c r="H9" s="83">
        <v>10286.799999999999</v>
      </c>
      <c r="I9" s="83">
        <f>10125.34+9929.92</f>
        <v>20055.260000000002</v>
      </c>
      <c r="J9" s="83">
        <f t="shared" si="0"/>
        <v>30342.06</v>
      </c>
    </row>
    <row r="10" spans="1:20" ht="17.100000000000001" customHeight="1">
      <c r="A10" s="5"/>
      <c r="B10" s="54" t="s">
        <v>4</v>
      </c>
      <c r="C10" s="55">
        <f>297636.33+8983.9+1756.6+1498.84</f>
        <v>309875.67000000004</v>
      </c>
      <c r="D10" s="55">
        <f t="shared" si="1"/>
        <v>867592.94000000006</v>
      </c>
      <c r="E10" s="91">
        <f t="shared" si="2"/>
        <v>1177468.6100000001</v>
      </c>
      <c r="H10" s="83">
        <v>4288.6099999999997</v>
      </c>
      <c r="I10" s="83">
        <f>4221.3+4139.82</f>
        <v>8361.119999999999</v>
      </c>
      <c r="J10" s="83">
        <f t="shared" si="0"/>
        <v>12649.73</v>
      </c>
    </row>
    <row r="11" spans="1:20" ht="17.100000000000001" customHeight="1">
      <c r="A11" s="5"/>
      <c r="B11" s="54" t="s">
        <v>133</v>
      </c>
      <c r="C11" s="55">
        <v>126693.92</v>
      </c>
      <c r="D11" s="55">
        <f t="shared" si="1"/>
        <v>442205.92</v>
      </c>
      <c r="E11" s="91">
        <f t="shared" si="2"/>
        <v>568899.83999999997</v>
      </c>
      <c r="H11" s="83">
        <v>11365.55</v>
      </c>
      <c r="I11" s="83">
        <f>9678.54+I18</f>
        <v>11365.55</v>
      </c>
      <c r="J11" s="83">
        <f t="shared" si="0"/>
        <v>22731.1</v>
      </c>
    </row>
    <row r="12" spans="1:20" ht="17.100000000000001" customHeight="1">
      <c r="A12" s="5"/>
      <c r="B12" s="54" t="s">
        <v>6</v>
      </c>
      <c r="C12" s="55">
        <v>307279.78999999998</v>
      </c>
      <c r="D12" s="55">
        <f t="shared" si="1"/>
        <v>-541773.91999999993</v>
      </c>
      <c r="E12" s="91">
        <f t="shared" si="2"/>
        <v>-234494.12999999995</v>
      </c>
      <c r="H12" s="83">
        <v>0</v>
      </c>
      <c r="I12" s="83">
        <v>0</v>
      </c>
      <c r="J12" s="83">
        <v>0</v>
      </c>
    </row>
    <row r="13" spans="1:20" ht="17.100000000000001" customHeight="1">
      <c r="A13" s="5"/>
      <c r="B13" s="54" t="s">
        <v>55</v>
      </c>
      <c r="C13" s="55">
        <v>50368.99</v>
      </c>
      <c r="D13" s="55">
        <f t="shared" si="1"/>
        <v>148891.93</v>
      </c>
      <c r="E13" s="91">
        <f t="shared" si="2"/>
        <v>199260.91999999998</v>
      </c>
      <c r="H13" s="337" t="s">
        <v>10</v>
      </c>
      <c r="I13" s="337"/>
      <c r="J13" s="337"/>
    </row>
    <row r="14" spans="1:20" ht="17.100000000000001" customHeight="1">
      <c r="A14" s="5"/>
      <c r="B14" s="54" t="s">
        <v>56</v>
      </c>
      <c r="C14" s="55">
        <v>21043.040000000001</v>
      </c>
      <c r="D14" s="55">
        <f t="shared" si="1"/>
        <v>61760.76</v>
      </c>
      <c r="E14" s="91">
        <f t="shared" si="2"/>
        <v>82803.8</v>
      </c>
      <c r="H14" s="83">
        <v>422523.74</v>
      </c>
      <c r="I14" s="92">
        <f>1209252.91-H14</f>
        <v>786729.16999999993</v>
      </c>
      <c r="J14" s="83">
        <f>H14+I14</f>
        <v>1209252.9099999999</v>
      </c>
    </row>
    <row r="15" spans="1:20" ht="17.100000000000001" customHeight="1">
      <c r="A15" s="5"/>
      <c r="B15" s="54" t="s">
        <v>57</v>
      </c>
      <c r="C15" s="55">
        <v>10337.91</v>
      </c>
      <c r="D15" s="55">
        <f t="shared" si="1"/>
        <v>30342.06</v>
      </c>
      <c r="E15" s="91">
        <f t="shared" si="2"/>
        <v>40679.97</v>
      </c>
      <c r="H15" s="83">
        <v>55988.09</v>
      </c>
      <c r="I15" s="92">
        <f>167350.35-H15</f>
        <v>111362.26000000001</v>
      </c>
      <c r="J15" s="83">
        <f>H15+I15</f>
        <v>167350.35</v>
      </c>
    </row>
    <row r="16" spans="1:20" ht="17.100000000000001" customHeight="1">
      <c r="A16" s="5"/>
      <c r="B16" s="54" t="s">
        <v>58</v>
      </c>
      <c r="C16" s="55">
        <v>4309.92</v>
      </c>
      <c r="D16" s="55">
        <f t="shared" si="1"/>
        <v>12649.73</v>
      </c>
      <c r="E16" s="91">
        <f t="shared" si="2"/>
        <v>16959.650000000001</v>
      </c>
      <c r="H16" s="83">
        <v>21959.439999999999</v>
      </c>
      <c r="I16" s="92">
        <f>82600.52-H16</f>
        <v>60641.08</v>
      </c>
      <c r="J16" s="83">
        <f>H16+I16</f>
        <v>82600.52</v>
      </c>
    </row>
    <row r="17" spans="1:20" ht="17.100000000000001" customHeight="1">
      <c r="A17" s="5"/>
      <c r="B17" s="54" t="s">
        <v>59</v>
      </c>
      <c r="C17" s="55">
        <v>14939</v>
      </c>
      <c r="D17" s="55">
        <v>0</v>
      </c>
      <c r="E17" s="91">
        <f t="shared" si="2"/>
        <v>14939</v>
      </c>
      <c r="H17" s="83"/>
      <c r="I17" s="92"/>
      <c r="J17" s="83"/>
    </row>
    <row r="18" spans="1:20" ht="17.100000000000001" customHeight="1">
      <c r="A18" s="5"/>
      <c r="B18" s="54" t="s">
        <v>7</v>
      </c>
      <c r="C18" s="55">
        <v>11365.55</v>
      </c>
      <c r="D18" s="55">
        <f>J11</f>
        <v>22731.1</v>
      </c>
      <c r="E18" s="91">
        <f t="shared" si="2"/>
        <v>34096.649999999994</v>
      </c>
      <c r="H18" s="83">
        <v>1159.6500000000001</v>
      </c>
      <c r="I18" s="92">
        <f>H11-9678.54</f>
        <v>1687.0099999999984</v>
      </c>
      <c r="J18" s="83">
        <f>H18+I18</f>
        <v>2846.6599999999985</v>
      </c>
    </row>
    <row r="19" spans="1:20" ht="17.100000000000001" customHeight="1">
      <c r="A19" s="5"/>
      <c r="B19" s="54" t="s">
        <v>8</v>
      </c>
      <c r="C19" s="55">
        <v>0</v>
      </c>
      <c r="D19" s="55">
        <v>0</v>
      </c>
      <c r="E19" s="91">
        <f t="shared" si="2"/>
        <v>0</v>
      </c>
      <c r="H19" s="83">
        <f>520002.48-H16-H15-H14</f>
        <v>19531.209999999963</v>
      </c>
      <c r="I19" s="92">
        <f>(1515449.58-520002.48)-I14-I15-I16</f>
        <v>36714.590000000157</v>
      </c>
      <c r="J19" s="83">
        <f>H19+I19</f>
        <v>56245.800000000119</v>
      </c>
    </row>
    <row r="20" spans="1:20" s="20" customFormat="1" ht="15.75" customHeight="1">
      <c r="A20" s="19"/>
      <c r="B20" s="56" t="s">
        <v>9</v>
      </c>
      <c r="C20" s="57">
        <f>SUM(C9:C19)</f>
        <v>1343161.27</v>
      </c>
      <c r="D20" s="57">
        <f>SUM(D9:D19)</f>
        <v>2662940.25</v>
      </c>
      <c r="E20" s="19"/>
      <c r="F20" s="19"/>
      <c r="G20" s="19"/>
      <c r="H20" s="5"/>
      <c r="I20" s="5"/>
      <c r="J20" s="5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85"/>
    </row>
    <row r="22" spans="1:20" s="20" customFormat="1" ht="15.75" customHeight="1">
      <c r="A22" s="19"/>
      <c r="B22" s="334" t="s">
        <v>10</v>
      </c>
      <c r="C22" s="335" t="s">
        <v>53</v>
      </c>
      <c r="D22" s="336" t="str">
        <f>D7</f>
        <v>JAN A MAR 2021</v>
      </c>
      <c r="E22" s="19"/>
      <c r="F22" s="19"/>
      <c r="G22" s="19"/>
      <c r="H22" s="5"/>
      <c r="I22" s="5"/>
      <c r="J22" s="5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334"/>
      <c r="C23" s="335"/>
      <c r="D23" s="336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60</v>
      </c>
      <c r="C25" s="55">
        <v>434677.58</v>
      </c>
      <c r="D25" s="94">
        <f>J14</f>
        <v>1209252.9099999999</v>
      </c>
      <c r="E25" s="91"/>
      <c r="H25" s="19"/>
      <c r="I25" s="19"/>
      <c r="J25" s="19"/>
    </row>
    <row r="26" spans="1:20" ht="17.100000000000001" customHeight="1">
      <c r="A26" s="5"/>
      <c r="B26" s="54" t="s">
        <v>39</v>
      </c>
      <c r="C26" s="55">
        <v>55988.09</v>
      </c>
      <c r="D26" s="94">
        <f>J15</f>
        <v>167350.35</v>
      </c>
      <c r="E26" s="91"/>
      <c r="H26" s="95"/>
      <c r="I26" s="19"/>
      <c r="J26" s="19"/>
    </row>
    <row r="27" spans="1:20" ht="17.100000000000001" customHeight="1">
      <c r="A27" s="5"/>
      <c r="B27" s="54" t="s">
        <v>40</v>
      </c>
      <c r="C27" s="63">
        <v>21932.5</v>
      </c>
      <c r="D27" s="94">
        <f>J16</f>
        <v>82600.52</v>
      </c>
      <c r="E27" s="91"/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1159.65*3</f>
        <v>3478.9500000000003</v>
      </c>
      <c r="E28" s="91"/>
      <c r="H28" s="19"/>
      <c r="I28" s="19"/>
      <c r="J28" s="19"/>
    </row>
    <row r="29" spans="1:20" ht="17.100000000000001" customHeight="1">
      <c r="A29" s="5"/>
      <c r="B29" s="54" t="s">
        <v>41</v>
      </c>
      <c r="C29" s="63">
        <f>537975.19-C25-C26-C27</f>
        <v>25377.019999999931</v>
      </c>
      <c r="D29" s="94">
        <f>J19</f>
        <v>56245.800000000119</v>
      </c>
      <c r="E29" s="91"/>
      <c r="H29" s="95"/>
      <c r="I29" s="19"/>
      <c r="J29" s="19"/>
    </row>
    <row r="30" spans="1:20" s="20" customFormat="1" ht="17.100000000000001" customHeight="1">
      <c r="A30" s="19"/>
      <c r="B30" s="64" t="s">
        <v>9</v>
      </c>
      <c r="C30" s="65">
        <f>SUM(C25:C29)</f>
        <v>539134.84</v>
      </c>
      <c r="D30" s="65">
        <f>SUM(D25:D29)</f>
        <v>1518928.53</v>
      </c>
      <c r="E30" s="91"/>
      <c r="F30" s="19"/>
      <c r="G30" s="19"/>
      <c r="H30" s="5"/>
      <c r="I30" s="5"/>
      <c r="J30" s="5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804026.43</v>
      </c>
      <c r="D31" s="68">
        <f>D20-D30</f>
        <v>1144011.72</v>
      </c>
      <c r="E31" s="91"/>
      <c r="F31" s="19"/>
      <c r="G31" s="19"/>
      <c r="H31" s="5"/>
      <c r="I31" s="5"/>
      <c r="J31" s="5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8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5"/>
      <c r="I33" s="5"/>
      <c r="J33" s="5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334" t="s">
        <v>16</v>
      </c>
      <c r="C34" s="336" t="str">
        <f>C22</f>
        <v>ABRIL</v>
      </c>
      <c r="D34" s="96"/>
      <c r="E34" s="19"/>
      <c r="F34" s="19"/>
      <c r="G34" s="19"/>
      <c r="H34" s="5"/>
      <c r="I34" s="5"/>
      <c r="J34" s="5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334"/>
      <c r="C35" s="336"/>
      <c r="D35" s="85"/>
    </row>
    <row r="36" spans="1:20" ht="15.75" customHeight="1">
      <c r="A36" s="5"/>
      <c r="B36" s="72" t="s">
        <v>17</v>
      </c>
      <c r="C36" s="97" t="s">
        <v>2</v>
      </c>
      <c r="D36" s="85"/>
    </row>
    <row r="37" spans="1:20" ht="15.75" customHeight="1">
      <c r="A37" s="5"/>
      <c r="B37" s="54" t="s">
        <v>18</v>
      </c>
      <c r="C37" s="55">
        <v>10205.9</v>
      </c>
      <c r="D37" s="85"/>
    </row>
    <row r="38" spans="1:20" ht="15.75" customHeight="1">
      <c r="A38" s="5"/>
      <c r="B38" s="54" t="s">
        <v>19</v>
      </c>
      <c r="C38" s="55">
        <v>0</v>
      </c>
      <c r="D38" s="85"/>
    </row>
    <row r="39" spans="1:20" ht="15.75" customHeight="1">
      <c r="A39" s="5"/>
      <c r="B39" s="54" t="s">
        <v>20</v>
      </c>
      <c r="C39" s="55">
        <v>1579.92</v>
      </c>
      <c r="D39" s="85"/>
    </row>
    <row r="40" spans="1:20" ht="15.75" customHeight="1">
      <c r="A40" s="5"/>
      <c r="B40" s="54" t="s">
        <v>21</v>
      </c>
      <c r="C40" s="55">
        <v>47615.040000000001</v>
      </c>
      <c r="D40" s="85"/>
    </row>
    <row r="41" spans="1:20" ht="15.75" customHeight="1">
      <c r="A41" s="5"/>
      <c r="B41" s="54" t="s">
        <v>22</v>
      </c>
      <c r="C41" s="55">
        <v>365.82</v>
      </c>
      <c r="D41" s="85"/>
    </row>
    <row r="42" spans="1:20" ht="15.75" customHeight="1">
      <c r="A42" s="5"/>
      <c r="B42" s="61" t="s">
        <v>23</v>
      </c>
      <c r="C42" s="74">
        <f>SUM(C37:C41)</f>
        <v>59766.68</v>
      </c>
      <c r="D42" s="85"/>
    </row>
    <row r="43" spans="1:20" ht="15.75" customHeight="1">
      <c r="A43" s="5"/>
      <c r="B43" s="93"/>
      <c r="C43" s="85"/>
      <c r="D43" s="85"/>
    </row>
    <row r="44" spans="1:20" ht="15.75" customHeight="1">
      <c r="A44" s="5"/>
      <c r="B44" s="61" t="s">
        <v>24</v>
      </c>
      <c r="C44" s="98" t="s">
        <v>2</v>
      </c>
      <c r="D44" s="85"/>
    </row>
    <row r="45" spans="1:20" ht="15.75" customHeight="1">
      <c r="A45" s="5"/>
      <c r="B45" s="54" t="s">
        <v>25</v>
      </c>
      <c r="C45" s="55">
        <v>34267351.57</v>
      </c>
      <c r="D45" s="85"/>
    </row>
    <row r="46" spans="1:20" ht="15.75" customHeight="1">
      <c r="A46" s="5"/>
      <c r="B46" s="54" t="s">
        <v>26</v>
      </c>
      <c r="C46" s="55">
        <v>9543804.2200000007</v>
      </c>
      <c r="D46" s="85"/>
    </row>
    <row r="47" spans="1:20" ht="15.75" customHeight="1">
      <c r="A47" s="5"/>
      <c r="B47" s="54" t="s">
        <v>27</v>
      </c>
      <c r="C47" s="55">
        <v>5352.65</v>
      </c>
      <c r="D47" s="85"/>
    </row>
    <row r="48" spans="1:20" ht="15.75" customHeight="1">
      <c r="A48" s="5"/>
      <c r="B48" s="61" t="s">
        <v>28</v>
      </c>
      <c r="C48" s="74">
        <f>SUM(C45:C47)</f>
        <v>43816508.439999998</v>
      </c>
      <c r="D48" s="85"/>
    </row>
    <row r="49" spans="1:4" ht="15.75" customHeight="1">
      <c r="A49" s="5"/>
      <c r="D49" s="85"/>
    </row>
    <row r="50" spans="1:4" ht="15.75" customHeight="1">
      <c r="A50" s="5"/>
      <c r="B50" s="78" t="s">
        <v>29</v>
      </c>
      <c r="C50" s="79">
        <f>C48+C42</f>
        <v>43876275.119999997</v>
      </c>
      <c r="D50" s="85"/>
    </row>
    <row r="51" spans="1:4" ht="15.75" customHeight="1">
      <c r="A51" s="5"/>
      <c r="B51" s="93"/>
      <c r="C51" s="85"/>
      <c r="D51" s="85"/>
    </row>
    <row r="52" spans="1:4" ht="15.75" customHeight="1">
      <c r="A52" s="5"/>
      <c r="B52" s="93"/>
      <c r="C52" s="85"/>
      <c r="D52" s="85"/>
    </row>
    <row r="53" spans="1:4" ht="15.75" customHeight="1">
      <c r="A53" s="5"/>
      <c r="B53" s="93"/>
      <c r="C53" s="85"/>
      <c r="D53" s="85"/>
    </row>
    <row r="54" spans="1:4" ht="15.75" customHeight="1">
      <c r="A54" s="5"/>
      <c r="B54" s="93"/>
      <c r="C54" s="85"/>
      <c r="D54" s="85"/>
    </row>
    <row r="55" spans="1:4" ht="15.75" customHeight="1">
      <c r="A55" s="5"/>
      <c r="B55" s="93"/>
      <c r="C55" s="85"/>
      <c r="D55" s="85"/>
    </row>
    <row r="56" spans="1:4" ht="15.75" customHeight="1">
      <c r="A56" s="5"/>
      <c r="B56" s="338" t="s">
        <v>30</v>
      </c>
      <c r="C56" s="338"/>
      <c r="D56" s="85"/>
    </row>
    <row r="57" spans="1:4" ht="15.75" customHeight="1">
      <c r="A57" s="5"/>
      <c r="B57" s="338" t="s">
        <v>42</v>
      </c>
      <c r="C57" s="338"/>
      <c r="D57" s="85"/>
    </row>
    <row r="58" spans="1:4" ht="15.75" customHeight="1">
      <c r="A58" s="5"/>
      <c r="B58" s="338" t="s">
        <v>43</v>
      </c>
      <c r="C58" s="338"/>
      <c r="D58" s="85"/>
    </row>
    <row r="59" spans="1:4" ht="15.75" customHeight="1">
      <c r="A59" s="5"/>
      <c r="B59" s="93"/>
      <c r="C59" s="85"/>
      <c r="D59" s="85"/>
    </row>
    <row r="60" spans="1:4" ht="15.75" customHeight="1">
      <c r="A60" s="5"/>
      <c r="B60" s="93"/>
      <c r="C60" s="85"/>
      <c r="D60" s="85"/>
    </row>
    <row r="61" spans="1:4" ht="15.75" customHeight="1">
      <c r="A61" s="5"/>
      <c r="B61" s="93"/>
      <c r="C61" s="85"/>
      <c r="D61" s="85"/>
    </row>
    <row r="62" spans="1:4" ht="15.75" customHeight="1">
      <c r="A62" s="5"/>
      <c r="B62" s="93"/>
      <c r="C62" s="85"/>
      <c r="D62" s="85"/>
    </row>
    <row r="63" spans="1:4" s="5" customFormat="1" ht="15.75" customHeight="1">
      <c r="B63" s="93"/>
      <c r="C63" s="85"/>
      <c r="D63" s="85"/>
    </row>
    <row r="64" spans="1:4" s="5" customFormat="1" ht="15.75" customHeight="1">
      <c r="B64" s="93"/>
      <c r="C64" s="85"/>
      <c r="D64" s="85"/>
    </row>
    <row r="65" spans="2:4" s="5" customFormat="1" ht="15.75" customHeight="1">
      <c r="B65" s="93"/>
      <c r="C65" s="85"/>
      <c r="D65" s="85"/>
    </row>
    <row r="66" spans="2:4" s="5" customFormat="1" ht="15.75" customHeight="1">
      <c r="B66" s="93"/>
      <c r="C66" s="85"/>
      <c r="D66" s="85"/>
    </row>
    <row r="67" spans="2:4" s="5" customFormat="1" ht="15.75" customHeight="1">
      <c r="B67" s="93"/>
      <c r="C67" s="85"/>
      <c r="D67" s="85"/>
    </row>
    <row r="68" spans="2:4" s="5" customFormat="1" ht="15.75" customHeight="1">
      <c r="B68" s="93"/>
      <c r="C68" s="85"/>
      <c r="D68" s="85"/>
    </row>
    <row r="69" spans="2:4" s="5" customFormat="1" ht="15.75" customHeight="1">
      <c r="B69" s="93"/>
      <c r="C69" s="85"/>
      <c r="D69" s="85"/>
    </row>
    <row r="70" spans="2:4" s="5" customFormat="1" ht="15.75" customHeight="1">
      <c r="B70" s="93"/>
      <c r="C70" s="85"/>
      <c r="D70" s="85"/>
    </row>
    <row r="71" spans="2:4" s="5" customFormat="1" ht="15.75" customHeight="1">
      <c r="B71" s="93"/>
      <c r="C71" s="85"/>
      <c r="D71" s="85"/>
    </row>
    <row r="72" spans="2:4" s="5" customFormat="1" ht="15.75" customHeight="1">
      <c r="B72" s="93"/>
      <c r="C72" s="85"/>
      <c r="D72" s="85"/>
    </row>
    <row r="73" spans="2:4" s="5" customFormat="1" ht="15.75" customHeight="1">
      <c r="B73" s="93"/>
      <c r="C73" s="85"/>
      <c r="D73" s="85"/>
    </row>
    <row r="74" spans="2:4" s="5" customFormat="1" ht="15.75" customHeight="1">
      <c r="B74" s="93"/>
      <c r="C74" s="85"/>
      <c r="D74" s="85"/>
    </row>
    <row r="75" spans="2:4" s="5" customFormat="1" ht="15.75" customHeight="1">
      <c r="B75" s="93"/>
      <c r="C75" s="85"/>
      <c r="D75" s="85"/>
    </row>
    <row r="76" spans="2:4" s="5" customFormat="1" ht="15.75" customHeight="1">
      <c r="B76" s="93"/>
      <c r="C76" s="85"/>
      <c r="D76" s="85"/>
    </row>
    <row r="77" spans="2:4" s="5" customFormat="1" ht="15.75" customHeight="1">
      <c r="B77" s="93"/>
      <c r="C77" s="85"/>
      <c r="D77" s="85"/>
    </row>
    <row r="78" spans="2:4" s="5" customFormat="1" ht="15.75" customHeight="1">
      <c r="B78" s="93"/>
      <c r="C78" s="85"/>
      <c r="D78" s="85"/>
    </row>
    <row r="79" spans="2:4" s="5" customFormat="1" ht="15.75" customHeight="1">
      <c r="B79" s="93"/>
      <c r="C79" s="85"/>
      <c r="D79" s="85"/>
    </row>
    <row r="80" spans="2:4" s="5" customFormat="1" ht="15.75" customHeight="1">
      <c r="B80" s="93"/>
      <c r="C80" s="85"/>
      <c r="D80" s="85"/>
    </row>
    <row r="81" spans="2:4" s="5" customFormat="1" ht="15.75" customHeight="1">
      <c r="B81" s="93"/>
      <c r="C81" s="85"/>
      <c r="D81" s="85"/>
    </row>
    <row r="82" spans="2:4" s="5" customFormat="1" ht="15.75" customHeight="1">
      <c r="B82" s="93"/>
      <c r="C82" s="85"/>
      <c r="D82" s="85"/>
    </row>
    <row r="83" spans="2:4" s="5" customFormat="1" ht="15.75" customHeight="1">
      <c r="B83" s="93"/>
      <c r="C83" s="85"/>
      <c r="D83" s="85"/>
    </row>
    <row r="84" spans="2:4" s="5" customFormat="1" ht="15.75" customHeight="1">
      <c r="B84" s="93"/>
      <c r="C84" s="85"/>
      <c r="D84" s="85"/>
    </row>
    <row r="85" spans="2:4" s="5" customFormat="1" ht="15.75" customHeight="1">
      <c r="B85" s="93"/>
      <c r="C85" s="85"/>
      <c r="D85" s="85"/>
    </row>
    <row r="86" spans="2:4" s="5" customFormat="1" ht="15.75" customHeight="1">
      <c r="B86" s="93"/>
      <c r="C86" s="85"/>
      <c r="D86" s="85"/>
    </row>
    <row r="87" spans="2:4" s="5" customFormat="1" ht="15.75" customHeight="1">
      <c r="B87" s="93"/>
      <c r="C87" s="85"/>
      <c r="D87" s="85"/>
    </row>
    <row r="88" spans="2:4" s="5" customFormat="1" ht="15.75" customHeight="1">
      <c r="B88" s="93"/>
      <c r="C88" s="85"/>
      <c r="D88" s="85"/>
    </row>
    <row r="89" spans="2:4" s="5" customFormat="1" ht="15.75" customHeight="1">
      <c r="B89" s="93"/>
      <c r="C89" s="85"/>
      <c r="D89" s="85"/>
    </row>
    <row r="90" spans="2:4" s="5" customFormat="1" ht="15.75" customHeight="1">
      <c r="B90" s="93"/>
      <c r="C90" s="85"/>
      <c r="D90" s="85"/>
    </row>
    <row r="91" spans="2:4" s="5" customFormat="1" ht="15.75" customHeight="1">
      <c r="B91" s="93"/>
      <c r="C91" s="85"/>
      <c r="D91" s="85"/>
    </row>
    <row r="92" spans="2:4" s="5" customFormat="1" ht="15.75" customHeight="1">
      <c r="B92" s="93"/>
      <c r="C92" s="85"/>
      <c r="D92" s="85"/>
    </row>
    <row r="93" spans="2:4" s="5" customFormat="1" ht="15.75" customHeight="1">
      <c r="B93" s="93"/>
      <c r="C93" s="85"/>
      <c r="D93" s="85"/>
    </row>
    <row r="94" spans="2:4" s="5" customFormat="1" ht="15.75" customHeight="1">
      <c r="B94" s="93"/>
      <c r="C94" s="85"/>
      <c r="D94" s="85"/>
    </row>
    <row r="95" spans="2:4" s="5" customFormat="1" ht="15.75" customHeight="1">
      <c r="B95" s="93"/>
      <c r="C95" s="85"/>
      <c r="D95" s="85"/>
    </row>
    <row r="96" spans="2:4" s="5" customFormat="1" ht="15.75" customHeight="1">
      <c r="B96" s="93"/>
      <c r="C96" s="85"/>
      <c r="D96" s="85"/>
    </row>
    <row r="97" spans="2:4" s="5" customFormat="1" ht="15.75" customHeight="1">
      <c r="B97" s="93"/>
      <c r="C97" s="85"/>
      <c r="D97" s="85"/>
    </row>
    <row r="98" spans="2:4" s="5" customFormat="1" ht="15.75" customHeight="1">
      <c r="B98" s="93"/>
      <c r="C98" s="85"/>
      <c r="D98" s="85"/>
    </row>
    <row r="99" spans="2:4" s="5" customFormat="1" ht="15.75" customHeight="1">
      <c r="B99" s="93"/>
      <c r="C99" s="85"/>
      <c r="D99" s="85"/>
    </row>
    <row r="100" spans="2:4" s="5" customFormat="1" ht="15.75" customHeight="1">
      <c r="B100" s="93"/>
      <c r="C100" s="85"/>
      <c r="D100" s="85"/>
    </row>
    <row r="101" spans="2:4" s="5" customFormat="1" ht="15.75" customHeight="1">
      <c r="B101" s="93"/>
      <c r="C101" s="85"/>
      <c r="D101" s="85"/>
    </row>
    <row r="102" spans="2:4" s="5" customFormat="1" ht="15.75" customHeight="1">
      <c r="B102" s="93"/>
      <c r="C102" s="85"/>
      <c r="D102" s="85"/>
    </row>
    <row r="103" spans="2:4" s="5" customFormat="1" ht="15.75" customHeight="1">
      <c r="B103" s="93"/>
      <c r="C103" s="85"/>
      <c r="D103" s="85"/>
    </row>
    <row r="104" spans="2:4" s="5" customFormat="1" ht="15.75" customHeight="1">
      <c r="B104" s="93"/>
      <c r="C104" s="85"/>
      <c r="D104" s="85"/>
    </row>
    <row r="105" spans="2:4" s="5" customFormat="1" ht="15.75" customHeight="1">
      <c r="B105" s="93"/>
      <c r="C105" s="85"/>
      <c r="D105" s="85"/>
    </row>
    <row r="106" spans="2:4" s="5" customFormat="1" ht="15.75" customHeight="1">
      <c r="B106" s="93"/>
      <c r="C106" s="85"/>
      <c r="D106" s="85"/>
    </row>
    <row r="107" spans="2:4" s="5" customFormat="1" ht="15.75" customHeight="1">
      <c r="B107" s="93"/>
      <c r="C107" s="85"/>
      <c r="D107" s="85"/>
    </row>
    <row r="108" spans="2:4" s="5" customFormat="1" ht="15.75" customHeight="1">
      <c r="B108" s="93"/>
      <c r="C108" s="85"/>
      <c r="D108" s="85"/>
    </row>
    <row r="109" spans="2:4" s="5" customFormat="1" ht="15.75" customHeight="1">
      <c r="B109" s="93"/>
      <c r="C109" s="85"/>
      <c r="D109" s="85"/>
    </row>
    <row r="110" spans="2:4" s="5" customFormat="1" ht="15.75" customHeight="1">
      <c r="B110" s="93"/>
      <c r="C110" s="85"/>
      <c r="D110" s="85"/>
    </row>
    <row r="111" spans="2:4" s="5" customFormat="1" ht="15.75" customHeight="1">
      <c r="B111" s="93"/>
      <c r="C111" s="85"/>
      <c r="D111" s="85"/>
    </row>
    <row r="112" spans="2:4" s="5" customFormat="1" ht="15.75" customHeight="1">
      <c r="B112" s="93"/>
      <c r="C112" s="85"/>
      <c r="D112" s="85"/>
    </row>
    <row r="113" spans="2:4" s="5" customFormat="1" ht="15.75" customHeight="1">
      <c r="B113" s="93"/>
      <c r="C113" s="85"/>
      <c r="D113" s="85"/>
    </row>
    <row r="114" spans="2:4" s="5" customFormat="1" ht="15.75" customHeight="1">
      <c r="B114" s="93"/>
      <c r="C114" s="85"/>
      <c r="D114" s="85"/>
    </row>
    <row r="115" spans="2:4" s="5" customFormat="1" ht="15.75" customHeight="1">
      <c r="B115" s="93"/>
      <c r="C115" s="85"/>
      <c r="D115" s="85"/>
    </row>
    <row r="116" spans="2:4" s="5" customFormat="1" ht="15.75" customHeight="1">
      <c r="B116" s="93"/>
      <c r="C116" s="85"/>
      <c r="D116" s="85"/>
    </row>
    <row r="117" spans="2:4" s="5" customFormat="1" ht="15.75" customHeight="1">
      <c r="B117" s="93"/>
      <c r="C117" s="85"/>
      <c r="D117" s="85"/>
    </row>
    <row r="118" spans="2:4" s="5" customFormat="1" ht="15.75" customHeight="1">
      <c r="B118" s="93"/>
      <c r="C118" s="85"/>
      <c r="D118" s="85"/>
    </row>
    <row r="119" spans="2:4" s="5" customFormat="1" ht="15.75" customHeight="1">
      <c r="B119" s="93"/>
      <c r="C119" s="85"/>
      <c r="D119" s="85"/>
    </row>
    <row r="120" spans="2:4" s="5" customFormat="1" ht="15.75" customHeight="1">
      <c r="B120" s="93"/>
      <c r="C120" s="85"/>
      <c r="D120" s="85"/>
    </row>
    <row r="121" spans="2:4" s="5" customFormat="1" ht="15.75" customHeight="1">
      <c r="B121" s="93"/>
      <c r="C121" s="85"/>
      <c r="D121" s="85"/>
    </row>
    <row r="122" spans="2:4" s="5" customFormat="1" ht="15.75" customHeight="1">
      <c r="B122" s="93"/>
      <c r="C122" s="85"/>
      <c r="D122" s="85"/>
    </row>
    <row r="123" spans="2:4" s="5" customFormat="1" ht="15.75" customHeight="1">
      <c r="B123" s="93"/>
      <c r="C123" s="85"/>
      <c r="D123" s="85"/>
    </row>
    <row r="124" spans="2:4" s="5" customFormat="1" ht="15.75" customHeight="1">
      <c r="B124" s="93"/>
      <c r="C124" s="85"/>
      <c r="D124" s="85"/>
    </row>
    <row r="125" spans="2:4" s="5" customFormat="1" ht="15.75" customHeight="1">
      <c r="B125" s="93"/>
      <c r="C125" s="85"/>
      <c r="D125" s="85"/>
    </row>
    <row r="126" spans="2:4" s="5" customFormat="1" ht="15.75" customHeight="1">
      <c r="B126" s="93"/>
      <c r="C126" s="85"/>
      <c r="D126" s="85"/>
    </row>
    <row r="127" spans="2:4" s="5" customFormat="1" ht="15.75" customHeight="1">
      <c r="B127" s="93"/>
      <c r="C127" s="85"/>
      <c r="D127" s="85"/>
    </row>
    <row r="128" spans="2:4" s="5" customFormat="1" ht="15.75" customHeight="1">
      <c r="B128" s="93"/>
      <c r="C128" s="85"/>
      <c r="D128" s="85"/>
    </row>
    <row r="129" spans="2:4" s="5" customFormat="1" ht="15.75" customHeight="1">
      <c r="B129" s="93"/>
      <c r="C129" s="85"/>
      <c r="D129" s="85"/>
    </row>
    <row r="130" spans="2:4" s="5" customFormat="1" ht="15.75" customHeight="1">
      <c r="B130" s="93"/>
      <c r="C130" s="85"/>
      <c r="D130" s="85"/>
    </row>
    <row r="131" spans="2:4" s="5" customFormat="1" ht="15.75" customHeight="1">
      <c r="B131" s="93"/>
      <c r="C131" s="85"/>
      <c r="D131" s="85"/>
    </row>
    <row r="132" spans="2:4" s="5" customFormat="1" ht="15.75" customHeight="1">
      <c r="B132" s="93"/>
      <c r="C132" s="85"/>
      <c r="D132" s="85"/>
    </row>
    <row r="133" spans="2:4" s="5" customFormat="1" ht="15.75" customHeight="1">
      <c r="B133" s="93"/>
      <c r="C133" s="85"/>
      <c r="D133" s="85"/>
    </row>
    <row r="134" spans="2:4" s="5" customFormat="1" ht="15.75" customHeight="1">
      <c r="B134" s="93"/>
      <c r="C134" s="85"/>
      <c r="D134" s="85"/>
    </row>
    <row r="135" spans="2:4" s="5" customFormat="1" ht="15.75" customHeight="1">
      <c r="B135" s="93"/>
      <c r="C135" s="85"/>
      <c r="D135" s="85"/>
    </row>
    <row r="136" spans="2:4" s="5" customFormat="1" ht="15.75" customHeight="1">
      <c r="B136" s="93"/>
      <c r="C136" s="85"/>
      <c r="D136" s="85"/>
    </row>
    <row r="137" spans="2:4" s="5" customFormat="1" ht="15.75" customHeight="1">
      <c r="B137" s="93"/>
      <c r="C137" s="85"/>
      <c r="D137" s="85"/>
    </row>
    <row r="138" spans="2:4" s="5" customFormat="1" ht="15.75" customHeight="1">
      <c r="B138" s="93"/>
      <c r="C138" s="85"/>
      <c r="D138" s="85"/>
    </row>
    <row r="139" spans="2:4" s="5" customFormat="1" ht="15.75" customHeight="1">
      <c r="B139" s="93"/>
      <c r="C139" s="85"/>
      <c r="D139" s="85"/>
    </row>
    <row r="140" spans="2:4" s="5" customFormat="1" ht="15.75" customHeight="1">
      <c r="B140" s="93"/>
      <c r="C140" s="85"/>
      <c r="D140" s="85"/>
    </row>
    <row r="141" spans="2:4" s="5" customFormat="1" ht="15.75" customHeight="1">
      <c r="B141" s="93"/>
      <c r="C141" s="85"/>
      <c r="D141" s="85"/>
    </row>
    <row r="142" spans="2:4" s="5" customFormat="1" ht="15.75" customHeight="1">
      <c r="B142" s="93"/>
      <c r="C142" s="85"/>
      <c r="D142" s="85"/>
    </row>
    <row r="143" spans="2:4" s="5" customFormat="1" ht="15.75" customHeight="1">
      <c r="B143" s="93"/>
      <c r="C143" s="85"/>
      <c r="D143" s="85"/>
    </row>
    <row r="144" spans="2:4" s="5" customFormat="1" ht="15.75" customHeight="1">
      <c r="B144" s="93"/>
      <c r="C144" s="85"/>
      <c r="D144" s="85"/>
    </row>
    <row r="145" spans="2:4" s="5" customFormat="1" ht="15.75" customHeight="1">
      <c r="B145" s="93"/>
      <c r="C145" s="85"/>
      <c r="D145" s="85"/>
    </row>
    <row r="146" spans="2:4" s="5" customFormat="1" ht="15.75" customHeight="1">
      <c r="B146" s="93"/>
      <c r="C146" s="85"/>
      <c r="D146" s="85"/>
    </row>
    <row r="147" spans="2:4" s="5" customFormat="1" ht="15.75" customHeight="1">
      <c r="B147" s="93"/>
      <c r="C147" s="85"/>
      <c r="D147" s="85"/>
    </row>
    <row r="148" spans="2:4" s="5" customFormat="1" ht="15.75" customHeight="1">
      <c r="B148" s="93"/>
      <c r="C148" s="85"/>
      <c r="D148" s="85"/>
    </row>
    <row r="149" spans="2:4" s="5" customFormat="1" ht="15.75" customHeight="1">
      <c r="B149" s="93"/>
      <c r="C149" s="85"/>
      <c r="D149" s="85"/>
    </row>
    <row r="150" spans="2:4" s="5" customFormat="1" ht="15.75" customHeight="1">
      <c r="B150" s="93"/>
      <c r="C150" s="85"/>
      <c r="D150" s="85"/>
    </row>
    <row r="151" spans="2:4" s="5" customFormat="1" ht="15.75" customHeight="1">
      <c r="B151" s="93"/>
      <c r="C151" s="85"/>
      <c r="D151" s="85"/>
    </row>
    <row r="152" spans="2:4" s="5" customFormat="1" ht="15.75" customHeight="1">
      <c r="B152" s="93"/>
      <c r="C152" s="85"/>
      <c r="D152" s="85"/>
    </row>
    <row r="153" spans="2:4" s="5" customFormat="1" ht="15.75" customHeight="1">
      <c r="B153" s="93"/>
      <c r="C153" s="85"/>
      <c r="D153" s="85"/>
    </row>
    <row r="154" spans="2:4" s="5" customFormat="1" ht="15.75" customHeight="1">
      <c r="B154" s="93"/>
      <c r="C154" s="85"/>
      <c r="D154" s="85"/>
    </row>
    <row r="155" spans="2:4" s="5" customFormat="1" ht="15.75" customHeight="1">
      <c r="B155" s="93"/>
      <c r="C155" s="85"/>
      <c r="D155" s="85"/>
    </row>
    <row r="156" spans="2:4" s="5" customFormat="1" ht="15.75" customHeight="1">
      <c r="B156" s="93"/>
      <c r="C156" s="85"/>
      <c r="D156" s="85"/>
    </row>
    <row r="157" spans="2:4" s="5" customFormat="1" ht="15.75" customHeight="1">
      <c r="B157" s="93"/>
      <c r="C157" s="85"/>
      <c r="D157" s="85"/>
    </row>
    <row r="158" spans="2:4" s="5" customFormat="1" ht="15.75" customHeight="1">
      <c r="B158" s="93"/>
      <c r="C158" s="85"/>
      <c r="D158" s="85"/>
    </row>
    <row r="159" spans="2:4" s="5" customFormat="1" ht="15.75" customHeight="1">
      <c r="B159" s="93"/>
      <c r="C159" s="85"/>
      <c r="D159" s="85"/>
    </row>
    <row r="160" spans="2:4" s="5" customFormat="1" ht="15.75" customHeight="1">
      <c r="B160" s="93"/>
      <c r="C160" s="85"/>
      <c r="D160" s="85"/>
    </row>
    <row r="161" spans="2:4" s="5" customFormat="1" ht="15.75" customHeight="1">
      <c r="B161" s="93"/>
      <c r="C161" s="85"/>
      <c r="D161" s="85"/>
    </row>
  </sheetData>
  <mergeCells count="12">
    <mergeCell ref="B34:B35"/>
    <mergeCell ref="C34:C35"/>
    <mergeCell ref="B56:C56"/>
    <mergeCell ref="B57:C57"/>
    <mergeCell ref="B58:C58"/>
    <mergeCell ref="H1:J1"/>
    <mergeCell ref="B6:D6"/>
    <mergeCell ref="B7:B8"/>
    <mergeCell ref="H13:J13"/>
    <mergeCell ref="B22:B23"/>
    <mergeCell ref="C22:C23"/>
    <mergeCell ref="D22:D23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verticalDpi="0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5:I60"/>
  <sheetViews>
    <sheetView showGridLines="0" tabSelected="1" workbookViewId="0">
      <selection activeCell="K9" sqref="K9"/>
    </sheetView>
  </sheetViews>
  <sheetFormatPr defaultRowHeight="15"/>
  <cols>
    <col min="1" max="1" width="61.7109375" bestFit="1" customWidth="1"/>
    <col min="2" max="8" width="18.7109375" bestFit="1" customWidth="1"/>
    <col min="9" max="9" width="20" bestFit="1" customWidth="1"/>
  </cols>
  <sheetData>
    <row r="5" spans="1:9" ht="15.75">
      <c r="A5" s="325" t="s">
        <v>0</v>
      </c>
      <c r="B5" s="268" t="s">
        <v>77</v>
      </c>
      <c r="C5" s="268" t="s">
        <v>69</v>
      </c>
      <c r="D5" s="268" t="s">
        <v>61</v>
      </c>
      <c r="E5" s="268" t="s">
        <v>53</v>
      </c>
      <c r="F5" s="268" t="s">
        <v>44</v>
      </c>
      <c r="G5" s="268" t="s">
        <v>151</v>
      </c>
      <c r="H5" s="268" t="s">
        <v>31</v>
      </c>
      <c r="I5" s="268">
        <v>2023</v>
      </c>
    </row>
    <row r="6" spans="1:9">
      <c r="A6" s="387" t="s">
        <v>127</v>
      </c>
      <c r="B6" s="388"/>
      <c r="C6" s="388"/>
      <c r="D6" s="388"/>
      <c r="E6" s="388"/>
      <c r="F6" s="388"/>
      <c r="G6" s="388"/>
      <c r="H6" s="388"/>
      <c r="I6" s="388"/>
    </row>
    <row r="7" spans="1:9">
      <c r="A7" s="389"/>
      <c r="B7" s="390"/>
      <c r="C7" s="390"/>
      <c r="D7" s="390"/>
      <c r="E7" s="391"/>
      <c r="F7" s="391"/>
      <c r="G7" s="391"/>
      <c r="H7" s="391"/>
      <c r="I7" s="391"/>
    </row>
    <row r="8" spans="1:9" ht="15.75">
      <c r="A8" s="269" t="s">
        <v>120</v>
      </c>
      <c r="B8" s="270" t="s">
        <v>2</v>
      </c>
      <c r="C8" s="270" t="s">
        <v>2</v>
      </c>
      <c r="D8" s="270" t="s">
        <v>2</v>
      </c>
      <c r="E8" s="271" t="s">
        <v>2</v>
      </c>
      <c r="F8" s="272" t="s">
        <v>2</v>
      </c>
      <c r="G8" s="272" t="s">
        <v>2</v>
      </c>
      <c r="H8" s="273" t="s">
        <v>2</v>
      </c>
      <c r="I8" s="273" t="s">
        <v>2</v>
      </c>
    </row>
    <row r="9" spans="1:9" ht="15.75">
      <c r="A9" s="274" t="s">
        <v>3</v>
      </c>
      <c r="B9" s="275">
        <v>753402.6</v>
      </c>
      <c r="C9" s="275">
        <v>881933.69</v>
      </c>
      <c r="D9" s="275">
        <v>673018</v>
      </c>
      <c r="E9" s="275">
        <v>674264.66</v>
      </c>
      <c r="F9" s="276">
        <v>786838.83</v>
      </c>
      <c r="G9" s="277">
        <v>489211.92</v>
      </c>
      <c r="H9" s="278">
        <v>604856.4</v>
      </c>
      <c r="I9" s="277">
        <v>4110123.5</v>
      </c>
    </row>
    <row r="10" spans="1:9" ht="15.75">
      <c r="A10" s="274" t="s">
        <v>4</v>
      </c>
      <c r="B10" s="275">
        <v>487850.95</v>
      </c>
      <c r="C10" s="275">
        <v>561230.71</v>
      </c>
      <c r="D10" s="275">
        <v>428284.2</v>
      </c>
      <c r="E10" s="275">
        <v>429077.63</v>
      </c>
      <c r="F10" s="276">
        <v>517389.2</v>
      </c>
      <c r="G10" s="277">
        <v>294643.45</v>
      </c>
      <c r="H10" s="279">
        <v>364738.73</v>
      </c>
      <c r="I10" s="277">
        <v>2595363.92</v>
      </c>
    </row>
    <row r="11" spans="1:9" ht="15.75">
      <c r="A11" s="274" t="s">
        <v>134</v>
      </c>
      <c r="B11" s="275">
        <v>520893.27</v>
      </c>
      <c r="C11" s="275">
        <v>520893.27</v>
      </c>
      <c r="D11" s="275">
        <v>263303.75</v>
      </c>
      <c r="E11" s="275">
        <v>263303.75</v>
      </c>
      <c r="F11" s="276">
        <v>263303.75</v>
      </c>
      <c r="G11" s="277">
        <v>263303.75</v>
      </c>
      <c r="H11" s="280">
        <v>263303.75</v>
      </c>
      <c r="I11" s="277">
        <v>1837412.02</v>
      </c>
    </row>
    <row r="12" spans="1:9" ht="15.75">
      <c r="A12" s="274" t="s">
        <v>6</v>
      </c>
      <c r="B12" s="275">
        <v>60389.96</v>
      </c>
      <c r="C12" s="275">
        <v>230912.69</v>
      </c>
      <c r="D12" s="275">
        <v>448923.9</v>
      </c>
      <c r="E12" s="275">
        <v>4493.3900000000003</v>
      </c>
      <c r="F12" s="276">
        <v>-13910.66</v>
      </c>
      <c r="G12" s="277">
        <v>409631.92</v>
      </c>
      <c r="H12" s="280">
        <v>607471.24</v>
      </c>
      <c r="I12" s="277">
        <v>1687522.48</v>
      </c>
    </row>
    <row r="13" spans="1:9" ht="15.75">
      <c r="A13" s="274" t="s">
        <v>264</v>
      </c>
      <c r="B13" s="275">
        <v>59766.04</v>
      </c>
      <c r="C13" s="275">
        <v>59551.65</v>
      </c>
      <c r="D13" s="275">
        <v>59237.69</v>
      </c>
      <c r="E13" s="275">
        <v>58860.98</v>
      </c>
      <c r="F13" s="276">
        <v>58411.22</v>
      </c>
      <c r="G13" s="276">
        <v>58143.75</v>
      </c>
      <c r="H13" s="281">
        <v>57745.31</v>
      </c>
      <c r="I13" s="277">
        <v>351950.60000000003</v>
      </c>
    </row>
    <row r="14" spans="1:9" ht="15.75">
      <c r="A14" s="274" t="s">
        <v>265</v>
      </c>
      <c r="B14" s="275">
        <v>14034.57</v>
      </c>
      <c r="C14" s="275">
        <v>13914.07</v>
      </c>
      <c r="D14" s="275">
        <v>13771.83</v>
      </c>
      <c r="E14" s="275">
        <v>13616.57</v>
      </c>
      <c r="F14" s="276">
        <v>13445.4</v>
      </c>
      <c r="G14" s="276">
        <v>13318.11</v>
      </c>
      <c r="H14" s="281">
        <v>13251.74</v>
      </c>
      <c r="I14" s="277">
        <v>81317.720000000016</v>
      </c>
    </row>
    <row r="15" spans="1:9" ht="15.75">
      <c r="A15" s="274" t="s">
        <v>266</v>
      </c>
      <c r="B15" s="275">
        <v>5851.07</v>
      </c>
      <c r="C15" s="275">
        <v>5800.84</v>
      </c>
      <c r="D15" s="275">
        <v>5741.52</v>
      </c>
      <c r="E15" s="275">
        <v>5676.81</v>
      </c>
      <c r="F15" s="276">
        <v>5605.43</v>
      </c>
      <c r="G15" s="276">
        <v>5552.37</v>
      </c>
      <c r="H15" s="281">
        <v>5524.7</v>
      </c>
      <c r="I15" s="277">
        <v>33901.67</v>
      </c>
    </row>
    <row r="16" spans="1:9" ht="15.75">
      <c r="A16" s="274" t="s">
        <v>267</v>
      </c>
      <c r="B16" s="275">
        <v>20046.919999999998</v>
      </c>
      <c r="C16" s="275">
        <v>19875.27</v>
      </c>
      <c r="D16" s="275" t="s">
        <v>118</v>
      </c>
      <c r="E16" s="275">
        <v>19449.22</v>
      </c>
      <c r="F16" s="276">
        <v>19205.7</v>
      </c>
      <c r="G16" s="276">
        <v>19021.29</v>
      </c>
      <c r="H16" s="281">
        <v>18926.32</v>
      </c>
      <c r="I16" s="277">
        <v>116150.35</v>
      </c>
    </row>
    <row r="17" spans="1:9" ht="15.75">
      <c r="A17" s="282" t="s">
        <v>7</v>
      </c>
      <c r="B17" s="276">
        <v>14297.67</v>
      </c>
      <c r="C17" s="276">
        <v>14297.67</v>
      </c>
      <c r="D17" s="275">
        <v>28595.34</v>
      </c>
      <c r="E17" s="275">
        <v>0</v>
      </c>
      <c r="F17" s="276">
        <v>14297.67</v>
      </c>
      <c r="G17" s="276">
        <v>13497.43</v>
      </c>
      <c r="H17" s="281">
        <v>313284.2</v>
      </c>
      <c r="I17" s="277">
        <v>383972.31</v>
      </c>
    </row>
    <row r="18" spans="1:9" ht="15.75">
      <c r="A18" s="274" t="s">
        <v>149</v>
      </c>
      <c r="B18" s="275">
        <v>1575.12</v>
      </c>
      <c r="C18" s="275">
        <v>3111.48</v>
      </c>
      <c r="D18" s="275">
        <v>2240.9</v>
      </c>
      <c r="E18" s="275">
        <v>0</v>
      </c>
      <c r="F18" s="276">
        <v>6223.26</v>
      </c>
      <c r="G18" s="276">
        <v>0</v>
      </c>
      <c r="H18" s="281">
        <v>0</v>
      </c>
      <c r="I18" s="277">
        <v>11575.64</v>
      </c>
    </row>
    <row r="19" spans="1:9" ht="15.75">
      <c r="A19" s="283" t="s">
        <v>9</v>
      </c>
      <c r="B19" s="284">
        <f>B9+B10+B11+B12+B13+B14+B15+B16+B17+B18</f>
        <v>1938108.1700000002</v>
      </c>
      <c r="C19" s="285">
        <v>2311521.3399999994</v>
      </c>
      <c r="D19" s="284">
        <v>1942789.68</v>
      </c>
      <c r="E19" s="284">
        <v>1468743.01</v>
      </c>
      <c r="F19" s="286">
        <v>1670809.8</v>
      </c>
      <c r="G19" s="286">
        <v>1566323.99</v>
      </c>
      <c r="H19" s="287">
        <v>2249102.39</v>
      </c>
      <c r="I19" s="287">
        <v>11209290.210000001</v>
      </c>
    </row>
    <row r="20" spans="1:9" ht="15.75">
      <c r="A20" s="288"/>
      <c r="B20" s="288"/>
      <c r="C20" s="288"/>
      <c r="D20" s="288"/>
      <c r="E20" s="288"/>
      <c r="F20" s="289"/>
      <c r="G20" s="290"/>
      <c r="H20" s="290"/>
      <c r="I20" s="290"/>
    </row>
    <row r="21" spans="1:9">
      <c r="A21" s="387" t="s">
        <v>128</v>
      </c>
      <c r="B21" s="388"/>
      <c r="C21" s="388"/>
      <c r="D21" s="388"/>
      <c r="E21" s="388"/>
      <c r="F21" s="388"/>
      <c r="G21" s="388"/>
      <c r="H21" s="388"/>
      <c r="I21" s="388"/>
    </row>
    <row r="22" spans="1:9">
      <c r="A22" s="389"/>
      <c r="B22" s="391"/>
      <c r="C22" s="391"/>
      <c r="D22" s="391"/>
      <c r="E22" s="391"/>
      <c r="F22" s="391"/>
      <c r="G22" s="391"/>
      <c r="H22" s="391"/>
      <c r="I22" s="391"/>
    </row>
    <row r="23" spans="1:9" ht="15.75">
      <c r="A23" s="291" t="s">
        <v>121</v>
      </c>
      <c r="B23" s="273" t="s">
        <v>2</v>
      </c>
      <c r="C23" s="273" t="s">
        <v>2</v>
      </c>
      <c r="D23" s="273" t="s">
        <v>2</v>
      </c>
      <c r="E23" s="273" t="s">
        <v>2</v>
      </c>
      <c r="F23" s="273" t="s">
        <v>2</v>
      </c>
      <c r="G23" s="273" t="s">
        <v>2</v>
      </c>
      <c r="H23" s="273" t="s">
        <v>2</v>
      </c>
      <c r="I23" s="273" t="s">
        <v>2</v>
      </c>
    </row>
    <row r="24" spans="1:9" ht="15.75">
      <c r="A24" s="292" t="s">
        <v>245</v>
      </c>
      <c r="B24" s="293">
        <v>696367.63</v>
      </c>
      <c r="C24" s="293">
        <v>1051770.73</v>
      </c>
      <c r="D24" s="293">
        <v>827737.05</v>
      </c>
      <c r="E24" s="293">
        <v>665086.01</v>
      </c>
      <c r="F24" s="294">
        <v>653828.48</v>
      </c>
      <c r="G24" s="294">
        <v>623073.82999999996</v>
      </c>
      <c r="H24" s="294">
        <v>628352.19999999995</v>
      </c>
      <c r="I24" s="294">
        <v>4449848.3</v>
      </c>
    </row>
    <row r="25" spans="1:9" ht="15.75">
      <c r="A25" s="292" t="s">
        <v>269</v>
      </c>
      <c r="B25" s="293">
        <v>79721.56</v>
      </c>
      <c r="C25" s="293">
        <v>116408.61</v>
      </c>
      <c r="D25" s="293">
        <v>74419.42</v>
      </c>
      <c r="E25" s="293">
        <v>72346.3</v>
      </c>
      <c r="F25" s="294">
        <v>72346.3</v>
      </c>
      <c r="G25" s="294">
        <v>71877.13</v>
      </c>
      <c r="H25" s="294">
        <v>72215.28</v>
      </c>
      <c r="I25" s="294">
        <v>479613.04000000004</v>
      </c>
    </row>
    <row r="26" spans="1:9" ht="15.75">
      <c r="A26" s="292" t="s">
        <v>268</v>
      </c>
      <c r="B26" s="295">
        <v>61999.54</v>
      </c>
      <c r="C26" s="295">
        <v>54689.06</v>
      </c>
      <c r="D26" s="295">
        <v>73931.69</v>
      </c>
      <c r="E26" s="295">
        <v>46891.27</v>
      </c>
      <c r="F26" s="296">
        <v>61618.25</v>
      </c>
      <c r="G26" s="296">
        <v>38036.89</v>
      </c>
      <c r="H26" s="296">
        <v>31403.3</v>
      </c>
      <c r="I26" s="294">
        <v>306570.45999999996</v>
      </c>
    </row>
    <row r="27" spans="1:9" ht="15.75">
      <c r="A27" s="292" t="s">
        <v>13</v>
      </c>
      <c r="B27" s="293">
        <v>1782.94</v>
      </c>
      <c r="C27" s="293">
        <v>1782.94</v>
      </c>
      <c r="D27" s="293">
        <v>3297.86</v>
      </c>
      <c r="E27" s="293">
        <v>268.7</v>
      </c>
      <c r="F27" s="294">
        <v>1782.94</v>
      </c>
      <c r="G27" s="294">
        <v>1683.17</v>
      </c>
      <c r="H27" s="294">
        <v>1683.17</v>
      </c>
      <c r="I27" s="294">
        <v>10498.78</v>
      </c>
    </row>
    <row r="28" spans="1:9" ht="15.75">
      <c r="A28" s="292" t="s">
        <v>130</v>
      </c>
      <c r="B28" s="295">
        <v>61507.38</v>
      </c>
      <c r="C28" s="295">
        <v>45936.83</v>
      </c>
      <c r="D28" s="295">
        <v>35857.339999999997</v>
      </c>
      <c r="E28" s="295">
        <v>64228.92</v>
      </c>
      <c r="F28" s="296">
        <v>45631</v>
      </c>
      <c r="G28" s="296">
        <v>36903.89</v>
      </c>
      <c r="H28" s="296">
        <v>22842.21</v>
      </c>
      <c r="I28" s="294">
        <v>251400.18999999997</v>
      </c>
    </row>
    <row r="29" spans="1:9" ht="15.75">
      <c r="A29" s="297" t="s">
        <v>84</v>
      </c>
      <c r="B29" s="298">
        <f>908966-7586.95</f>
        <v>901379.05</v>
      </c>
      <c r="C29" s="298">
        <v>1270588.17</v>
      </c>
      <c r="D29" s="299">
        <v>1015243.36</v>
      </c>
      <c r="E29" s="299">
        <v>848821.2</v>
      </c>
      <c r="F29" s="299">
        <v>835206.97</v>
      </c>
      <c r="G29" s="299">
        <v>771574.91</v>
      </c>
      <c r="H29" s="299">
        <v>756496.16</v>
      </c>
      <c r="I29" s="299">
        <v>5497930.7699999996</v>
      </c>
    </row>
    <row r="30" spans="1:9" ht="15.75">
      <c r="A30" s="300" t="s">
        <v>14</v>
      </c>
      <c r="B30" s="301">
        <f>B19-B29</f>
        <v>1036729.1200000001</v>
      </c>
      <c r="C30" s="301">
        <v>1040933.1699999992</v>
      </c>
      <c r="D30" s="302">
        <v>927546.32000000007</v>
      </c>
      <c r="E30" s="302">
        <v>619921.81000000006</v>
      </c>
      <c r="F30" s="302">
        <v>835602.83</v>
      </c>
      <c r="G30" s="302">
        <v>794749.08000000019</v>
      </c>
      <c r="H30" s="302">
        <v>1492606.23</v>
      </c>
      <c r="I30" s="302">
        <v>4670426.2699999996</v>
      </c>
    </row>
    <row r="31" spans="1:9" ht="15.75">
      <c r="A31" s="288"/>
      <c r="B31" s="288"/>
      <c r="C31" s="288"/>
      <c r="D31" s="288"/>
      <c r="E31" s="288"/>
      <c r="F31" s="289"/>
      <c r="G31" s="290"/>
      <c r="H31" s="290"/>
      <c r="I31" s="290"/>
    </row>
    <row r="32" spans="1:9" ht="15.75">
      <c r="A32" s="392" t="s">
        <v>15</v>
      </c>
      <c r="B32" s="393"/>
      <c r="C32" s="393"/>
      <c r="D32" s="393"/>
      <c r="E32" s="393"/>
      <c r="F32" s="393"/>
      <c r="G32" s="393"/>
      <c r="H32" s="393"/>
      <c r="I32" s="393"/>
    </row>
    <row r="33" spans="1:9">
      <c r="A33" s="387" t="s">
        <v>16</v>
      </c>
      <c r="B33" s="388"/>
      <c r="C33" s="388"/>
      <c r="D33" s="388"/>
      <c r="E33" s="388"/>
      <c r="F33" s="388"/>
      <c r="G33" s="388"/>
      <c r="H33" s="388"/>
      <c r="I33" s="388"/>
    </row>
    <row r="34" spans="1:9">
      <c r="A34" s="389"/>
      <c r="B34" s="390"/>
      <c r="C34" s="390"/>
      <c r="D34" s="390"/>
      <c r="E34" s="390"/>
      <c r="F34" s="391"/>
      <c r="G34" s="391"/>
      <c r="H34" s="391"/>
      <c r="I34" s="391"/>
    </row>
    <row r="35" spans="1:9" ht="15.75">
      <c r="A35" s="326" t="s">
        <v>17</v>
      </c>
      <c r="B35" s="303"/>
      <c r="C35" s="303"/>
      <c r="D35" s="303"/>
      <c r="E35" s="304"/>
      <c r="F35" s="305"/>
      <c r="G35" s="305"/>
      <c r="H35" s="394" t="s">
        <v>2</v>
      </c>
      <c r="I35" s="395"/>
    </row>
    <row r="36" spans="1:9" ht="15.75">
      <c r="A36" s="306" t="s">
        <v>18</v>
      </c>
      <c r="B36" s="307"/>
      <c r="C36" s="307"/>
      <c r="D36" s="307"/>
      <c r="E36" s="307"/>
      <c r="F36" s="307"/>
      <c r="G36" s="307"/>
      <c r="H36" s="385">
        <v>12783.43</v>
      </c>
      <c r="I36" s="386"/>
    </row>
    <row r="37" spans="1:9" ht="15.75">
      <c r="A37" s="306" t="s">
        <v>19</v>
      </c>
      <c r="B37" s="307"/>
      <c r="C37" s="307"/>
      <c r="D37" s="307"/>
      <c r="E37" s="307"/>
      <c r="F37" s="307"/>
      <c r="G37" s="307"/>
      <c r="H37" s="385">
        <v>0</v>
      </c>
      <c r="I37" s="386"/>
    </row>
    <row r="38" spans="1:9" ht="15.75">
      <c r="A38" s="306" t="s">
        <v>231</v>
      </c>
      <c r="B38" s="307"/>
      <c r="C38" s="307"/>
      <c r="D38" s="307"/>
      <c r="E38" s="307"/>
      <c r="F38" s="307"/>
      <c r="G38" s="307"/>
      <c r="H38" s="385">
        <v>0</v>
      </c>
      <c r="I38" s="386"/>
    </row>
    <row r="39" spans="1:9" ht="15.75">
      <c r="A39" s="306" t="s">
        <v>230</v>
      </c>
      <c r="B39" s="307"/>
      <c r="C39" s="307"/>
      <c r="D39" s="307"/>
      <c r="E39" s="307"/>
      <c r="F39" s="307"/>
      <c r="G39" s="307"/>
      <c r="H39" s="385">
        <v>0.15</v>
      </c>
      <c r="I39" s="386"/>
    </row>
    <row r="40" spans="1:9" ht="15.75">
      <c r="A40" s="306" t="s">
        <v>229</v>
      </c>
      <c r="B40" s="307"/>
      <c r="C40" s="307"/>
      <c r="D40" s="307"/>
      <c r="E40" s="307"/>
      <c r="F40" s="307"/>
      <c r="G40" s="307"/>
      <c r="H40" s="385">
        <v>0</v>
      </c>
      <c r="I40" s="386"/>
    </row>
    <row r="41" spans="1:9" ht="15.75">
      <c r="A41" s="306" t="s">
        <v>20</v>
      </c>
      <c r="B41" s="307"/>
      <c r="C41" s="307"/>
      <c r="D41" s="307"/>
      <c r="E41" s="307"/>
      <c r="F41" s="307"/>
      <c r="G41" s="307"/>
      <c r="H41" s="385">
        <v>124115.85</v>
      </c>
      <c r="I41" s="386"/>
    </row>
    <row r="42" spans="1:9" ht="15.75">
      <c r="A42" s="306" t="s">
        <v>21</v>
      </c>
      <c r="B42" s="307"/>
      <c r="C42" s="307"/>
      <c r="D42" s="307"/>
      <c r="E42" s="307"/>
      <c r="F42" s="307"/>
      <c r="G42" s="307"/>
      <c r="H42" s="385">
        <v>5359.61</v>
      </c>
      <c r="I42" s="386"/>
    </row>
    <row r="43" spans="1:9" ht="15.75">
      <c r="A43" s="308" t="s">
        <v>22</v>
      </c>
      <c r="B43" s="309"/>
      <c r="C43" s="309"/>
      <c r="D43" s="309"/>
      <c r="E43" s="309"/>
      <c r="F43" s="309"/>
      <c r="G43" s="309"/>
      <c r="H43" s="385">
        <v>503.08</v>
      </c>
      <c r="I43" s="386"/>
    </row>
    <row r="44" spans="1:9" ht="15.75">
      <c r="A44" s="310" t="s">
        <v>23</v>
      </c>
      <c r="B44" s="311"/>
      <c r="C44" s="311"/>
      <c r="D44" s="311"/>
      <c r="E44" s="311"/>
      <c r="F44" s="311"/>
      <c r="G44" s="311"/>
      <c r="H44" s="396">
        <v>142762.12</v>
      </c>
      <c r="I44" s="397"/>
    </row>
    <row r="45" spans="1:9" ht="15.75">
      <c r="A45" s="312"/>
      <c r="B45" s="312"/>
      <c r="C45" s="312"/>
      <c r="D45" s="312"/>
      <c r="E45" s="312"/>
      <c r="F45" s="312"/>
      <c r="G45" s="313"/>
      <c r="H45" s="313"/>
      <c r="I45" s="313"/>
    </row>
    <row r="46" spans="1:9" ht="15.75">
      <c r="A46" s="310" t="s">
        <v>24</v>
      </c>
      <c r="B46" s="311"/>
      <c r="C46" s="311"/>
      <c r="D46" s="311"/>
      <c r="E46" s="311"/>
      <c r="F46" s="311"/>
      <c r="G46" s="311"/>
      <c r="H46" s="394" t="s">
        <v>2</v>
      </c>
      <c r="I46" s="395"/>
    </row>
    <row r="47" spans="1:9" ht="15.75">
      <c r="A47" s="308" t="s">
        <v>25</v>
      </c>
      <c r="B47" s="309"/>
      <c r="C47" s="309"/>
      <c r="D47" s="309"/>
      <c r="E47" s="309"/>
      <c r="F47" s="309"/>
      <c r="G47" s="309"/>
      <c r="H47" s="385">
        <f>1430689.92+9549853.26+5321305.77+2390502.32+3397251.25+426650.86+1249783.79+490961.77+1372646.05</f>
        <v>25629644.989999998</v>
      </c>
      <c r="I47" s="386"/>
    </row>
    <row r="48" spans="1:9" ht="15.75">
      <c r="A48" s="308" t="s">
        <v>26</v>
      </c>
      <c r="B48" s="309"/>
      <c r="C48" s="309"/>
      <c r="D48" s="309"/>
      <c r="E48" s="309"/>
      <c r="F48" s="309"/>
      <c r="G48" s="309"/>
      <c r="H48" s="385">
        <f>3484708.53+2667779.2+4071197.15+71316.44+967851.28</f>
        <v>11262852.6</v>
      </c>
      <c r="I48" s="386"/>
    </row>
    <row r="49" spans="1:9" ht="15.75">
      <c r="A49" s="308" t="s">
        <v>200</v>
      </c>
      <c r="B49" s="309"/>
      <c r="C49" s="309"/>
      <c r="D49" s="309"/>
      <c r="E49" s="309"/>
      <c r="F49" s="309"/>
      <c r="G49" s="309"/>
      <c r="H49" s="385">
        <v>10635743.84</v>
      </c>
      <c r="I49" s="386"/>
    </row>
    <row r="50" spans="1:9" ht="15.75">
      <c r="A50" s="308" t="s">
        <v>206</v>
      </c>
      <c r="B50" s="309"/>
      <c r="C50" s="309"/>
      <c r="D50" s="309"/>
      <c r="E50" s="309"/>
      <c r="F50" s="309"/>
      <c r="G50" s="309"/>
      <c r="H50" s="385">
        <v>10292767.390000001</v>
      </c>
      <c r="I50" s="386"/>
    </row>
    <row r="51" spans="1:9" ht="15.75">
      <c r="A51" s="308" t="s">
        <v>243</v>
      </c>
      <c r="B51" s="309"/>
      <c r="C51" s="309"/>
      <c r="D51" s="309"/>
      <c r="E51" s="309"/>
      <c r="F51" s="309"/>
      <c r="G51" s="314"/>
      <c r="H51" s="315"/>
      <c r="I51" s="316">
        <v>5251584.59</v>
      </c>
    </row>
    <row r="52" spans="1:9" ht="15.75">
      <c r="A52" s="308" t="s">
        <v>237</v>
      </c>
      <c r="B52" s="309"/>
      <c r="C52" s="309"/>
      <c r="D52" s="309"/>
      <c r="E52" s="309"/>
      <c r="F52" s="309"/>
      <c r="G52" s="314"/>
      <c r="H52" s="315"/>
      <c r="I52" s="317">
        <v>5094645.99</v>
      </c>
    </row>
    <row r="53" spans="1:9" ht="15.75">
      <c r="A53" s="308" t="s">
        <v>131</v>
      </c>
      <c r="B53" s="309"/>
      <c r="C53" s="309"/>
      <c r="D53" s="309"/>
      <c r="E53" s="309"/>
      <c r="F53" s="309"/>
      <c r="G53" s="309"/>
      <c r="H53" s="385">
        <v>252561.05</v>
      </c>
      <c r="I53" s="386"/>
    </row>
    <row r="54" spans="1:9" ht="15.75">
      <c r="A54" s="318" t="s">
        <v>28</v>
      </c>
      <c r="B54" s="311"/>
      <c r="C54" s="311"/>
      <c r="D54" s="311"/>
      <c r="E54" s="311"/>
      <c r="F54" s="311"/>
      <c r="G54" s="311"/>
      <c r="H54" s="396">
        <f>H47+H48+H49+H50+I51+I52+H53</f>
        <v>68419800.449999988</v>
      </c>
      <c r="I54" s="397"/>
    </row>
    <row r="55" spans="1:9" ht="15.75">
      <c r="A55" s="319"/>
      <c r="B55" s="319"/>
      <c r="C55" s="319"/>
      <c r="D55" s="319"/>
      <c r="E55" s="319"/>
      <c r="F55" s="319"/>
      <c r="G55" s="320"/>
      <c r="H55" s="320"/>
      <c r="I55" s="320"/>
    </row>
    <row r="56" spans="1:9" ht="15.75">
      <c r="A56" s="321" t="s">
        <v>29</v>
      </c>
      <c r="B56" s="322"/>
      <c r="C56" s="322"/>
      <c r="D56" s="322"/>
      <c r="E56" s="323"/>
      <c r="F56" s="324"/>
      <c r="G56" s="321"/>
      <c r="H56" s="398">
        <f>H44+H54</f>
        <v>68562562.569999993</v>
      </c>
      <c r="I56" s="399"/>
    </row>
    <row r="57" spans="1:9" ht="15.75" thickBot="1"/>
    <row r="58" spans="1:9" s="246" customFormat="1" ht="15.75" thickBot="1">
      <c r="A58" s="224" t="s">
        <v>226</v>
      </c>
      <c r="B58" s="226"/>
      <c r="C58" s="226"/>
      <c r="D58" s="226"/>
      <c r="E58" s="226"/>
      <c r="F58" s="255"/>
      <c r="G58" s="255"/>
      <c r="H58" s="255"/>
      <c r="I58" s="400"/>
    </row>
    <row r="59" spans="1:9" s="246" customFormat="1" ht="15.75" thickBot="1">
      <c r="A59" s="257"/>
      <c r="B59" s="257"/>
      <c r="C59" s="257"/>
      <c r="D59" s="257"/>
      <c r="E59" s="257"/>
      <c r="F59" s="258"/>
      <c r="G59" s="258"/>
      <c r="H59" s="258"/>
    </row>
    <row r="60" spans="1:9" s="246" customFormat="1" ht="15.75" thickBot="1">
      <c r="A60" s="224" t="s">
        <v>270</v>
      </c>
      <c r="B60" s="226"/>
      <c r="C60" s="226"/>
      <c r="D60" s="226"/>
      <c r="E60" s="259"/>
      <c r="F60" s="260"/>
      <c r="G60" s="260"/>
      <c r="H60" s="260"/>
      <c r="I60" s="400"/>
    </row>
  </sheetData>
  <mergeCells count="22">
    <mergeCell ref="H50:I50"/>
    <mergeCell ref="H53:I53"/>
    <mergeCell ref="H54:I54"/>
    <mergeCell ref="H56:I56"/>
    <mergeCell ref="H43:I43"/>
    <mergeCell ref="H44:I44"/>
    <mergeCell ref="H46:I46"/>
    <mergeCell ref="H47:I47"/>
    <mergeCell ref="H48:I48"/>
    <mergeCell ref="H49:I49"/>
    <mergeCell ref="H42:I42"/>
    <mergeCell ref="A6:I7"/>
    <mergeCell ref="A21:I22"/>
    <mergeCell ref="A32:I32"/>
    <mergeCell ref="A33:I34"/>
    <mergeCell ref="H35:I35"/>
    <mergeCell ref="H36:I36"/>
    <mergeCell ref="H37:I37"/>
    <mergeCell ref="H38:I38"/>
    <mergeCell ref="H39:I39"/>
    <mergeCell ref="H40:I40"/>
    <mergeCell ref="H41:I41"/>
  </mergeCells>
  <pageMargins left="0.25" right="0.25" top="0.75" bottom="0.75" header="0.3" footer="0.3"/>
  <pageSetup paperSize="9" scale="6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333" t="s">
        <v>0</v>
      </c>
      <c r="C6" s="333"/>
      <c r="D6" s="33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334" t="s">
        <v>1</v>
      </c>
      <c r="C7" s="59" t="s">
        <v>61</v>
      </c>
      <c r="D7" s="60" t="s">
        <v>62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334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476216.33</v>
      </c>
      <c r="D9" s="94">
        <f>'ABRIL 2021'!D9+'ABRIL 2021'!C9</f>
        <v>2105487.21</v>
      </c>
    </row>
    <row r="10" spans="1:20" ht="17.100000000000001" customHeight="1">
      <c r="A10" s="5"/>
      <c r="B10" s="54" t="s">
        <v>4</v>
      </c>
      <c r="C10" s="55">
        <v>303046.75</v>
      </c>
      <c r="D10" s="94">
        <f>'ABRIL 2021'!C10+'ABRIL 2021'!D10</f>
        <v>1177468.6100000001</v>
      </c>
    </row>
    <row r="11" spans="1:20" ht="17.100000000000001" customHeight="1">
      <c r="A11" s="5"/>
      <c r="B11" s="54" t="s">
        <v>134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286170.09000000003</v>
      </c>
      <c r="D12" s="94">
        <f>'ABRIL 2021'!C12+'ABRIL 2021'!D12</f>
        <v>-234494.12999999995</v>
      </c>
    </row>
    <row r="13" spans="1:20" ht="17.100000000000001" customHeight="1">
      <c r="A13" s="5"/>
      <c r="B13" s="54" t="s">
        <v>63</v>
      </c>
      <c r="C13" s="55">
        <v>50995.21</v>
      </c>
      <c r="D13" s="94">
        <f>'ABRIL 2021'!D13+'ABRIL 2021'!C13</f>
        <v>199260.91999999998</v>
      </c>
    </row>
    <row r="14" spans="1:20" ht="17.100000000000001" customHeight="1">
      <c r="A14" s="5"/>
      <c r="B14" s="54" t="s">
        <v>64</v>
      </c>
      <c r="C14" s="55">
        <v>21330.77</v>
      </c>
      <c r="D14" s="94">
        <f>'ABRIL 2021'!D14+'ABRIL 2021'!C14</f>
        <v>82803.8</v>
      </c>
    </row>
    <row r="15" spans="1:20" ht="17.100000000000001" customHeight="1">
      <c r="A15" s="5"/>
      <c r="B15" s="54" t="s">
        <v>65</v>
      </c>
      <c r="C15" s="55">
        <v>10479.35</v>
      </c>
      <c r="D15" s="94">
        <f>'ABRIL 2021'!D15+'ABRIL 2021'!C15</f>
        <v>40679.97</v>
      </c>
    </row>
    <row r="16" spans="1:20" ht="17.100000000000001" customHeight="1">
      <c r="A16" s="5"/>
      <c r="B16" s="54" t="s">
        <v>66</v>
      </c>
      <c r="C16" s="55">
        <v>4368.88</v>
      </c>
      <c r="D16" s="94">
        <f>'ABRIL 2021'!D16+'ABRIL 2021'!C16</f>
        <v>16959.650000000001</v>
      </c>
    </row>
    <row r="17" spans="1:20" ht="17.100000000000001" customHeight="1">
      <c r="A17" s="5"/>
      <c r="B17" s="54" t="s">
        <v>67</v>
      </c>
      <c r="C17" s="55">
        <v>14966.61</v>
      </c>
      <c r="D17" s="94">
        <f>'ABRIL 2021'!D17+'ABRIL 2021'!C17</f>
        <v>14939</v>
      </c>
    </row>
    <row r="18" spans="1:20" ht="17.100000000000001" customHeight="1">
      <c r="A18" s="5"/>
      <c r="B18" s="54" t="s">
        <v>7</v>
      </c>
      <c r="C18" s="55">
        <v>11365.55</v>
      </c>
      <c r="D18" s="94">
        <f>'ABRIL 2021'!D18+'ABRIL 2021'!C18</f>
        <v>34096.649999999994</v>
      </c>
    </row>
    <row r="19" spans="1:20" ht="17.100000000000001" customHeight="1">
      <c r="A19" s="5"/>
      <c r="B19" s="54" t="s">
        <v>8</v>
      </c>
      <c r="C19" s="55">
        <v>0</v>
      </c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1305633.4600000002</v>
      </c>
      <c r="D20" s="57">
        <f>SUM(D9:D19)</f>
        <v>4006101.52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334" t="s">
        <v>10</v>
      </c>
      <c r="C22" s="335" t="s">
        <v>61</v>
      </c>
      <c r="D22" s="336" t="str">
        <f>D7</f>
        <v>JAN A ABR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334"/>
      <c r="C23" s="335"/>
      <c r="D23" s="336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68</v>
      </c>
      <c r="C25" s="55">
        <v>654689.87</v>
      </c>
      <c r="D25" s="94">
        <f>2298620.36-C25</f>
        <v>1643930.4899999998</v>
      </c>
    </row>
    <row r="26" spans="1:20" ht="17.100000000000001" customHeight="1">
      <c r="A26" s="5"/>
      <c r="B26" s="54" t="s">
        <v>39</v>
      </c>
      <c r="C26" s="55">
        <v>83982.18</v>
      </c>
      <c r="D26" s="94">
        <f>307320.62-C26</f>
        <v>223338.44</v>
      </c>
    </row>
    <row r="27" spans="1:20" ht="17.100000000000001" customHeight="1">
      <c r="A27" s="5"/>
      <c r="B27" s="54" t="s">
        <v>12</v>
      </c>
      <c r="C27" s="63">
        <v>28632.33</v>
      </c>
      <c r="D27" s="94">
        <f>133165.35-C27</f>
        <v>104533.02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1159.65*4</f>
        <v>4638.6000000000004</v>
      </c>
    </row>
    <row r="29" spans="1:20" ht="17.100000000000001" customHeight="1">
      <c r="A29" s="5"/>
      <c r="B29" s="54" t="s">
        <v>41</v>
      </c>
      <c r="C29" s="63">
        <f>802598.42-C25-C26-C27</f>
        <v>35294.040000000052</v>
      </c>
      <c r="D29" s="94">
        <v>81622.820000000007</v>
      </c>
    </row>
    <row r="30" spans="1:20" s="20" customFormat="1" ht="17.100000000000001" customHeight="1">
      <c r="A30" s="19"/>
      <c r="B30" s="64" t="s">
        <v>9</v>
      </c>
      <c r="C30" s="65">
        <f>SUM(C25:C29)</f>
        <v>803758.07000000007</v>
      </c>
      <c r="D30" s="65">
        <f>SUM(D25:D29)</f>
        <v>2058063.3699999999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501875.39000000013</v>
      </c>
      <c r="D31" s="68">
        <f>D20-D30</f>
        <v>1948038.1500000001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334" t="s">
        <v>16</v>
      </c>
      <c r="C34" s="336" t="s">
        <v>61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334"/>
      <c r="C35" s="336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0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58875.12</v>
      </c>
      <c r="D39" s="96"/>
    </row>
    <row r="40" spans="1:20" ht="15.75" customHeight="1">
      <c r="A40" s="5"/>
      <c r="B40" s="54" t="s">
        <v>21</v>
      </c>
      <c r="C40" s="55">
        <v>14717.36</v>
      </c>
      <c r="D40" s="96"/>
    </row>
    <row r="41" spans="1:20" ht="15.75" customHeight="1">
      <c r="A41" s="5"/>
      <c r="B41" s="54" t="s">
        <v>22</v>
      </c>
      <c r="C41" s="55">
        <v>316.82</v>
      </c>
      <c r="D41" s="96"/>
    </row>
    <row r="42" spans="1:20" ht="15.75" customHeight="1">
      <c r="A42" s="5"/>
      <c r="B42" s="61" t="s">
        <v>23</v>
      </c>
      <c r="C42" s="74">
        <f>SUM(C37:C41)</f>
        <v>73909.300000000017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v>33680358.670000002</v>
      </c>
      <c r="D45" s="96"/>
    </row>
    <row r="46" spans="1:20" ht="15.75" customHeight="1">
      <c r="A46" s="5"/>
      <c r="B46" s="54" t="s">
        <v>26</v>
      </c>
      <c r="C46" s="55">
        <v>10631420.93</v>
      </c>
      <c r="D46" s="96"/>
    </row>
    <row r="47" spans="1:20" ht="15.75" customHeight="1">
      <c r="A47" s="5"/>
      <c r="B47" s="54" t="s">
        <v>27</v>
      </c>
      <c r="C47" s="55">
        <v>5453.35</v>
      </c>
      <c r="D47" s="96"/>
    </row>
    <row r="48" spans="1:20" ht="15.75" customHeight="1">
      <c r="A48" s="5"/>
      <c r="B48" s="61" t="s">
        <v>28</v>
      </c>
      <c r="C48" s="74">
        <f>SUM(C45:C47)</f>
        <v>44317232.950000003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44391142.25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338" t="s">
        <v>30</v>
      </c>
      <c r="C56" s="338"/>
      <c r="D56" s="96"/>
    </row>
    <row r="57" spans="1:4" ht="15.75" customHeight="1">
      <c r="A57" s="5"/>
      <c r="B57" s="338" t="s">
        <v>42</v>
      </c>
      <c r="C57" s="338"/>
      <c r="D57" s="96"/>
    </row>
    <row r="58" spans="1:4" ht="15.75" customHeight="1">
      <c r="A58" s="5"/>
      <c r="B58" s="338" t="s">
        <v>43</v>
      </c>
      <c r="C58" s="338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verticalDpi="0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161"/>
  <sheetViews>
    <sheetView showGridLines="0"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333" t="s">
        <v>0</v>
      </c>
      <c r="C6" s="333"/>
      <c r="D6" s="33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334" t="s">
        <v>1</v>
      </c>
      <c r="C7" s="59" t="s">
        <v>69</v>
      </c>
      <c r="D7" s="60" t="s">
        <v>70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334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473846.43899999995</v>
      </c>
      <c r="D9" s="94">
        <f>'MAIO 2021'!D9+'MAIO 2021'!C9</f>
        <v>2581703.54</v>
      </c>
    </row>
    <row r="10" spans="1:20" ht="17.100000000000001" customHeight="1">
      <c r="A10" s="5"/>
      <c r="B10" s="54" t="s">
        <v>4</v>
      </c>
      <c r="C10" s="55">
        <v>301538.64</v>
      </c>
      <c r="D10" s="94">
        <f>'MAIO 2021'!D10+'MAIO 2021'!C10</f>
        <v>1480515.36</v>
      </c>
    </row>
    <row r="11" spans="1:20" ht="17.100000000000001" customHeight="1">
      <c r="A11" s="5"/>
      <c r="B11" s="54" t="s">
        <v>135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109194.69</v>
      </c>
      <c r="D12" s="94">
        <f>'MAIO 2021'!D12+'MAIO 2021'!C12</f>
        <v>51675.960000000079</v>
      </c>
    </row>
    <row r="13" spans="1:20" ht="17.100000000000001" customHeight="1">
      <c r="A13" s="5"/>
      <c r="B13" s="54" t="s">
        <v>71</v>
      </c>
      <c r="C13" s="55">
        <v>51484.76</v>
      </c>
      <c r="D13" s="94">
        <f>'MAIO 2021'!D13+'MAIO 2021'!C13</f>
        <v>250256.12999999998</v>
      </c>
    </row>
    <row r="14" spans="1:20" ht="17.100000000000001" customHeight="1">
      <c r="A14" s="5"/>
      <c r="B14" s="54" t="s">
        <v>72</v>
      </c>
      <c r="C14" s="55">
        <v>21519.1</v>
      </c>
      <c r="D14" s="94">
        <f>'MAIO 2021'!D14+'MAIO 2021'!C14</f>
        <v>104134.57</v>
      </c>
    </row>
    <row r="15" spans="1:20" ht="17.100000000000001" customHeight="1">
      <c r="A15" s="5"/>
      <c r="B15" s="54" t="s">
        <v>73</v>
      </c>
      <c r="C15" s="55">
        <v>10571.54</v>
      </c>
      <c r="D15" s="94">
        <f>'MAIO 2021'!D15+'MAIO 2021'!C15</f>
        <v>51159.32</v>
      </c>
    </row>
    <row r="16" spans="1:20" ht="17.100000000000001" customHeight="1">
      <c r="A16" s="5"/>
      <c r="B16" s="54" t="s">
        <v>74</v>
      </c>
      <c r="C16" s="55">
        <v>4407.32</v>
      </c>
      <c r="D16" s="94">
        <f>'MAIO 2021'!D16+'MAIO 2021'!C16</f>
        <v>21328.530000000002</v>
      </c>
    </row>
    <row r="17" spans="1:20" ht="17.100000000000001" customHeight="1">
      <c r="A17" s="5"/>
      <c r="B17" s="54" t="s">
        <v>75</v>
      </c>
      <c r="C17" s="55">
        <v>15098.86</v>
      </c>
      <c r="D17" s="94">
        <f>'MAIO 2021'!D17+'MAIO 2021'!C17</f>
        <v>29905.61</v>
      </c>
    </row>
    <row r="18" spans="1:20" ht="17.100000000000001" customHeight="1">
      <c r="A18" s="5"/>
      <c r="B18" s="54" t="s">
        <v>7</v>
      </c>
      <c r="C18" s="55">
        <v>11365.55</v>
      </c>
      <c r="D18" s="94">
        <f>'MAIO 2021'!D18+'MAIO 2021'!C18</f>
        <v>45462.2</v>
      </c>
    </row>
    <row r="19" spans="1:20" ht="17.100000000000001" customHeight="1">
      <c r="A19" s="5"/>
      <c r="B19" s="54" t="s">
        <v>8</v>
      </c>
      <c r="C19" s="55"/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1125720.8190000004</v>
      </c>
      <c r="D20" s="57">
        <f>SUM(D9:D19)</f>
        <v>5185041.0600000015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334" t="s">
        <v>10</v>
      </c>
      <c r="C22" s="335" t="s">
        <v>69</v>
      </c>
      <c r="D22" s="336" t="str">
        <f>D7</f>
        <v>JAN A MAI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334"/>
      <c r="C23" s="335"/>
      <c r="D23" s="336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76</v>
      </c>
      <c r="C25" s="55">
        <v>450168.17</v>
      </c>
      <c r="D25" s="94">
        <f>'MAIO 2021'!D25+'MAIO 2021'!C25</f>
        <v>2298620.36</v>
      </c>
    </row>
    <row r="26" spans="1:20" ht="17.100000000000001" customHeight="1">
      <c r="A26" s="5"/>
      <c r="B26" s="54" t="s">
        <v>39</v>
      </c>
      <c r="C26" s="55">
        <v>56991.839999999997</v>
      </c>
      <c r="D26" s="94">
        <f>'MAIO 2021'!D26+'MAIO 2021'!C26</f>
        <v>307320.62</v>
      </c>
    </row>
    <row r="27" spans="1:20" ht="17.100000000000001" customHeight="1">
      <c r="A27" s="5"/>
      <c r="B27" s="54" t="s">
        <v>12</v>
      </c>
      <c r="C27" s="63">
        <v>20266.25</v>
      </c>
      <c r="D27" s="94">
        <f>'MAIO 2021'!D27+'MAIO 2021'!C27</f>
        <v>133165.35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1159.65*5</f>
        <v>5798.25</v>
      </c>
    </row>
    <row r="29" spans="1:20" ht="17.100000000000001" customHeight="1">
      <c r="A29" s="5"/>
      <c r="B29" s="54" t="s">
        <v>41</v>
      </c>
      <c r="C29" s="63">
        <v>20280.21</v>
      </c>
      <c r="D29" s="94">
        <f>'MAIO 2021'!D29+'MAIO 2021'!C29</f>
        <v>116916.86000000006</v>
      </c>
    </row>
    <row r="30" spans="1:20" s="20" customFormat="1" ht="17.100000000000001" customHeight="1">
      <c r="A30" s="19"/>
      <c r="B30" s="64" t="s">
        <v>84</v>
      </c>
      <c r="C30" s="65">
        <f>SUM(C25:C29)</f>
        <v>548866.12</v>
      </c>
      <c r="D30" s="65">
        <f>SUM(D25:D29)</f>
        <v>2861821.44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576854.69900000037</v>
      </c>
      <c r="D31" s="68">
        <f>D20-D30</f>
        <v>2323219.6200000015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334" t="s">
        <v>16</v>
      </c>
      <c r="C34" s="336" t="s">
        <v>69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334"/>
      <c r="C35" s="336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10205.9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10661.63</v>
      </c>
      <c r="D39" s="96"/>
    </row>
    <row r="40" spans="1:20" ht="15.75" customHeight="1">
      <c r="A40" s="5"/>
      <c r="B40" s="54" t="s">
        <v>21</v>
      </c>
      <c r="C40" s="55">
        <v>660.23</v>
      </c>
      <c r="D40" s="96"/>
    </row>
    <row r="41" spans="1:20" ht="15.75" customHeight="1">
      <c r="A41" s="5"/>
      <c r="B41" s="54" t="s">
        <v>22</v>
      </c>
      <c r="C41" s="55">
        <v>267.82</v>
      </c>
      <c r="D41" s="96"/>
    </row>
    <row r="42" spans="1:20" ht="15.75" customHeight="1">
      <c r="A42" s="5"/>
      <c r="B42" s="61" t="s">
        <v>23</v>
      </c>
      <c r="C42" s="74">
        <f>SUM(C37:C41)</f>
        <v>21795.579999999998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f>34244320.18-C39-C40-C41</f>
        <v>34232730.5</v>
      </c>
      <c r="D45" s="96"/>
    </row>
    <row r="46" spans="1:20" ht="15.75" customHeight="1">
      <c r="A46" s="5"/>
      <c r="B46" s="54" t="s">
        <v>26</v>
      </c>
      <c r="C46" s="55">
        <f>10661233.36-C37</f>
        <v>10651027.459999999</v>
      </c>
      <c r="D46" s="96"/>
    </row>
    <row r="47" spans="1:20" ht="15.75" customHeight="1">
      <c r="A47" s="5"/>
      <c r="B47" s="54" t="s">
        <v>27</v>
      </c>
      <c r="C47" s="55">
        <v>5454.3</v>
      </c>
      <c r="D47" s="96"/>
    </row>
    <row r="48" spans="1:20" ht="15.75" customHeight="1">
      <c r="A48" s="5"/>
      <c r="B48" s="61" t="s">
        <v>28</v>
      </c>
      <c r="C48" s="74">
        <f>SUM(C45:C47)</f>
        <v>44889212.259999998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44911007.839999996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338" t="s">
        <v>30</v>
      </c>
      <c r="C56" s="338"/>
      <c r="D56" s="96"/>
    </row>
    <row r="57" spans="1:4" ht="15.75" customHeight="1">
      <c r="A57" s="5"/>
      <c r="B57" s="338" t="s">
        <v>42</v>
      </c>
      <c r="C57" s="338"/>
      <c r="D57" s="96"/>
    </row>
    <row r="58" spans="1:4" ht="15.75" customHeight="1">
      <c r="A58" s="5"/>
      <c r="B58" s="338" t="s">
        <v>43</v>
      </c>
      <c r="C58" s="338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1" right="1" top="1" bottom="1" header="0.5" footer="0.5"/>
  <pageSetup paperSize="9" scale="27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333" t="s">
        <v>0</v>
      </c>
      <c r="C6" s="333"/>
      <c r="D6" s="33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334" t="s">
        <v>1</v>
      </c>
      <c r="C7" s="59" t="s">
        <v>77</v>
      </c>
      <c r="D7" s="60" t="s">
        <v>78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334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471763.93</v>
      </c>
      <c r="D9" s="94">
        <f>'JUNHO 2021'!D9+'JUNHO 2021'!C9</f>
        <v>3055549.9789999998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300213.40999999997</v>
      </c>
      <c r="D10" s="94">
        <f>'JUNHO 2021'!D10+'JUNHO 2021'!C10</f>
        <v>1782054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136</v>
      </c>
      <c r="C11" s="55">
        <v>126693.92</v>
      </c>
      <c r="D11" s="94">
        <f>'JUNHO 2021'!D11+'JUNHO 2021'!C11</f>
        <v>695593.76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-156994.26999999999</v>
      </c>
      <c r="D12" s="94">
        <f>'JUNHO 2021'!D12+'JUNHO 2021'!C12</f>
        <v>160870.65000000008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79</v>
      </c>
      <c r="C13" s="55">
        <v>51484.76</v>
      </c>
      <c r="D13" s="94">
        <f>'JUNHO 2021'!D13+'JUNHO 2021'!C13</f>
        <v>301740.88999999996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80</v>
      </c>
      <c r="C14" s="55">
        <v>21835.4</v>
      </c>
      <c r="D14" s="94">
        <f>'JUNHO 2021'!D14+'JUNHO 2021'!C14</f>
        <v>125653.67000000001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81</v>
      </c>
      <c r="C15" s="55">
        <v>10726.89</v>
      </c>
      <c r="D15" s="94">
        <f>'JUNHO 2021'!D15+'JUNHO 2021'!C15</f>
        <v>61730.86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82</v>
      </c>
      <c r="C16" s="55">
        <v>4472.08</v>
      </c>
      <c r="D16" s="94">
        <f>'JUNHO 2021'!D16+'JUNHO 2021'!C16</f>
        <v>25735.850000000002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83</v>
      </c>
      <c r="C17" s="55">
        <v>15321.61</v>
      </c>
      <c r="D17" s="94">
        <f>'JUNHO 2021'!D17+'JUNHO 2021'!C17</f>
        <v>45004.47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'JUNHO 2021'!D18+'JUNHO 2021'!C18</f>
        <v>56827.75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'JUNHO 2021'!D19+'JUNHO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856883.28</v>
      </c>
      <c r="D20" s="57">
        <f>SUM(D9:D19)</f>
        <v>6310761.8789999997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334" t="s">
        <v>10</v>
      </c>
      <c r="C22" s="335" t="s">
        <v>77</v>
      </c>
      <c r="D22" s="336" t="str">
        <f>D7</f>
        <v>JAN A JUN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334"/>
      <c r="C23" s="335"/>
      <c r="D23" s="33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76</v>
      </c>
      <c r="C25" s="55">
        <v>452316.29</v>
      </c>
      <c r="D25" s="94">
        <f>'JUNHO 2021'!D25+'JUNHO 2021'!C25</f>
        <v>2748788.53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55988.09</v>
      </c>
      <c r="D26" s="94">
        <f>'JUNHO 2021'!D26+'JUNHO 2021'!C26</f>
        <v>364312.45999999996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20216.810000000001</v>
      </c>
      <c r="D27" s="94">
        <f>'JUNHO 2021'!D27+'JUNHO 2021'!C27</f>
        <v>153431.6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'JUNHO 2021'!D28+'JUNHO 2021'!C28</f>
        <v>6957.9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f>563119.55-C25-C26-C27-C28</f>
        <v>33438.710000000072</v>
      </c>
      <c r="D29" s="94">
        <f>'JUNHO 2021'!D29+'JUNHO 2021'!C29</f>
        <v>137197.07000000007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563119.55000000016</v>
      </c>
      <c r="D30" s="65">
        <f>SUM(D25:D29)</f>
        <v>3410687.5599999996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293763.72999999986</v>
      </c>
      <c r="D31" s="68">
        <f>D20-D30</f>
        <v>2900074.3190000001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334" t="s">
        <v>16</v>
      </c>
      <c r="C34" s="336" t="s">
        <v>77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334"/>
      <c r="C35" s="336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426.86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39828.86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218.82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40474.54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34465812.65-C42</f>
        <v>34425338.109999999</v>
      </c>
    </row>
    <row r="46" spans="1:20" ht="15.75" customHeight="1">
      <c r="B46" s="54" t="s">
        <v>26</v>
      </c>
      <c r="C46" s="55">
        <v>10668580.5</v>
      </c>
    </row>
    <row r="47" spans="1:20" ht="15.75" customHeight="1">
      <c r="B47" s="54" t="s">
        <v>27</v>
      </c>
      <c r="C47" s="55">
        <v>5405.1</v>
      </c>
    </row>
    <row r="48" spans="1:20" ht="15.75" customHeight="1">
      <c r="B48" s="61" t="s">
        <v>28</v>
      </c>
      <c r="C48" s="74">
        <f>SUM(C45:C47)</f>
        <v>45099323.710000001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45139798.25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338" t="s">
        <v>30</v>
      </c>
      <c r="C56" s="338"/>
    </row>
    <row r="57" spans="2:3" ht="15.75" customHeight="1">
      <c r="B57" s="338" t="s">
        <v>42</v>
      </c>
      <c r="C57" s="338"/>
    </row>
    <row r="58" spans="2:3" ht="15.75" customHeight="1">
      <c r="B58" s="338" t="s">
        <v>43</v>
      </c>
      <c r="C58" s="338"/>
    </row>
  </sheetData>
  <mergeCells count="10">
    <mergeCell ref="B6:D6"/>
    <mergeCell ref="B7:B8"/>
    <mergeCell ref="B22:B23"/>
    <mergeCell ref="C22:C23"/>
    <mergeCell ref="D22:D23"/>
    <mergeCell ref="B34:B35"/>
    <mergeCell ref="C34:C35"/>
    <mergeCell ref="B56:C56"/>
    <mergeCell ref="B57:C57"/>
    <mergeCell ref="B58:C58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333" t="s">
        <v>0</v>
      </c>
      <c r="C6" s="333"/>
      <c r="D6" s="33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334" t="s">
        <v>1</v>
      </c>
      <c r="C7" s="59" t="s">
        <v>85</v>
      </c>
      <c r="D7" s="60" t="s">
        <v>86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334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486004.39</v>
      </c>
      <c r="D9" s="94">
        <f>'JULHO 2021'!C9+'JULHO 2021'!D9</f>
        <v>3527313.909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309275.52000000002</v>
      </c>
      <c r="D10" s="94">
        <f>'JULHO 2021'!C10+'JULHO 2021'!D10</f>
        <v>2082267.41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137</v>
      </c>
      <c r="C11" s="55">
        <v>126693.92</v>
      </c>
      <c r="D11" s="94">
        <f>'JULHO 2021'!C11+'JULHO 2021'!D11</f>
        <v>822287.68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-250918.8</v>
      </c>
      <c r="D12" s="94">
        <f>'JULHO 2021'!C12+'JULHO 2021'!D12</f>
        <v>3876.380000000092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91</v>
      </c>
      <c r="C13" s="55">
        <v>51793.67</v>
      </c>
      <c r="D13" s="94">
        <f>'JULHO 2021'!C13+'JULHO 2021'!D13</f>
        <v>353225.64999999997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92</v>
      </c>
      <c r="C14" s="55">
        <v>21835.67</v>
      </c>
      <c r="D14" s="94">
        <f>'JULHO 2021'!C14+'JULHO 2021'!D14</f>
        <v>147489.07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93</v>
      </c>
      <c r="C15" s="55">
        <v>10726.89</v>
      </c>
      <c r="D15" s="94">
        <f>'JULHO 2021'!C15+'JULHO 2021'!D15</f>
        <v>72457.75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94</v>
      </c>
      <c r="C16" s="55">
        <v>15321.61</v>
      </c>
      <c r="D16" s="94">
        <f>'JULHO 2021'!C16+'JULHO 2021'!D16</f>
        <v>30207.93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95</v>
      </c>
      <c r="C17" s="55">
        <v>4472.08</v>
      </c>
      <c r="D17" s="94">
        <f>'JULHO 2021'!C17+'JULHO 2021'!D17</f>
        <v>60326.080000000002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</f>
        <v>68193.3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786570.50000000012</v>
      </c>
      <c r="D20" s="57">
        <f>SUM(D9:D19)</f>
        <v>7167645.159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334" t="s">
        <v>10</v>
      </c>
      <c r="C22" s="335" t="s">
        <v>85</v>
      </c>
      <c r="D22" s="336" t="str">
        <f>D7</f>
        <v>JAN A JUL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334"/>
      <c r="C23" s="335"/>
      <c r="D23" s="33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578051.19999999995</v>
      </c>
      <c r="D25" s="94">
        <f>'JULHO 2021'!C25+'JULHO 2021'!D25</f>
        <v>3201104.82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57600.75</v>
      </c>
      <c r="D26" s="94">
        <f>'JULHO 2021'!C26+'JULHO 2021'!D26</f>
        <v>420300.54999999993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27168.04</v>
      </c>
      <c r="D27" s="94">
        <f>'JULHO 2021'!C27+'JULHO 2021'!D27</f>
        <v>173648.41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</f>
        <v>8117.5499999999993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26700.35</v>
      </c>
      <c r="D29" s="94">
        <f>'JULHO 2021'!C29+'JULHO 2021'!D29</f>
        <v>170635.78000000014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690679.99</v>
      </c>
      <c r="D30" s="65">
        <f>SUM(D25:D29)</f>
        <v>3973807.11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95890.510000000126</v>
      </c>
      <c r="D31" s="68">
        <f>D20-D30</f>
        <v>3193838.0490000001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334" t="s">
        <v>16</v>
      </c>
      <c r="C34" s="336" t="s">
        <v>85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334"/>
      <c r="C35" s="336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7496.01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7206.96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169.82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14872.79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34511202.56-C42</f>
        <v>34496329.770000003</v>
      </c>
    </row>
    <row r="46" spans="1:20" ht="15.75" customHeight="1">
      <c r="B46" s="54" t="s">
        <v>26</v>
      </c>
      <c r="C46" s="55">
        <v>10663557.07</v>
      </c>
    </row>
    <row r="47" spans="1:20" ht="15.75" customHeight="1">
      <c r="B47" s="54" t="s">
        <v>27</v>
      </c>
      <c r="C47" s="55">
        <v>5417.89</v>
      </c>
    </row>
    <row r="48" spans="1:20" ht="15.75" customHeight="1">
      <c r="B48" s="61" t="s">
        <v>28</v>
      </c>
      <c r="C48" s="74">
        <f>SUM(C45:C47)</f>
        <v>45165304.730000004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45180177.520000003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338" t="s">
        <v>30</v>
      </c>
      <c r="C56" s="338"/>
    </row>
    <row r="57" spans="2:3" ht="15.75" customHeight="1">
      <c r="B57" s="338" t="s">
        <v>42</v>
      </c>
      <c r="C57" s="338"/>
    </row>
    <row r="58" spans="2:3" ht="15.75" customHeight="1">
      <c r="B58" s="338" t="s">
        <v>87</v>
      </c>
      <c r="C58" s="338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333" t="s">
        <v>0</v>
      </c>
      <c r="C6" s="333"/>
      <c r="D6" s="33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334" t="s">
        <v>1</v>
      </c>
      <c r="C7" s="59" t="s">
        <v>90</v>
      </c>
      <c r="D7" s="60" t="s">
        <v>89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334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608985.67000000004</v>
      </c>
      <c r="D9" s="94">
        <f>'JULHO 2021'!C9+'JULHO 2021'!D9+'AGOSTO 2021'!C9</f>
        <v>4013318.2990000001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387536.34</v>
      </c>
      <c r="D10" s="94">
        <f>'JULHO 2021'!C10+'JULHO 2021'!D10+'AGOSTO 2021'!C10</f>
        <v>2391542.9299999997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138</v>
      </c>
      <c r="C11" s="55">
        <v>126693.92</v>
      </c>
      <c r="D11" s="94">
        <f>'JULHO 2021'!C11+'JULHO 2021'!D11+'AGOSTO 2021'!C11</f>
        <v>948981.60000000009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-128616.75</v>
      </c>
      <c r="D12" s="94">
        <f>'JULHO 2021'!C12+'JULHO 2021'!D12+'AGOSTO 2021'!C12</f>
        <v>-247042.4199999999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96</v>
      </c>
      <c r="C13" s="55">
        <v>52321.97</v>
      </c>
      <c r="D13" s="94">
        <f>'JULHO 2021'!C13+'JULHO 2021'!D13+'AGOSTO 2021'!C13</f>
        <v>405019.31999999995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97</v>
      </c>
      <c r="C14" s="55">
        <v>22411.71</v>
      </c>
      <c r="D14" s="94">
        <f>'JULHO 2021'!C14+'JULHO 2021'!D14+'AGOSTO 2021'!C14</f>
        <v>169324.74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98</v>
      </c>
      <c r="C15" s="55">
        <v>11009.89</v>
      </c>
      <c r="D15" s="94">
        <f>'JULHO 2021'!C15+'JULHO 2021'!D15+'AGOSTO 2021'!C15</f>
        <v>83184.639999999999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99</v>
      </c>
      <c r="C16" s="55">
        <v>4590.0600000000004</v>
      </c>
      <c r="D16" s="94">
        <f>'JULHO 2021'!C16+'JULHO 2021'!D16+'AGOSTO 2021'!C16</f>
        <v>45529.54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100</v>
      </c>
      <c r="C17" s="55">
        <v>15726.1</v>
      </c>
      <c r="D17" s="94">
        <f>'JULHO 2021'!C17+'JULHO 2021'!D17+'AGOSTO 2021'!C17</f>
        <v>64798.16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2021'!D18+'AGOSTO 2021'!C18</f>
        <v>79558.850000000006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2021'!D19+'AGOSTO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1112024.46</v>
      </c>
      <c r="D20" s="57">
        <f>SUM(D9:D19)</f>
        <v>7954215.659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334" t="s">
        <v>10</v>
      </c>
      <c r="C22" s="335" t="s">
        <v>90</v>
      </c>
      <c r="D22" s="336" t="str">
        <f>D7</f>
        <v>JAN A AGO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334"/>
      <c r="C23" s="335"/>
      <c r="D23" s="33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480007.38</v>
      </c>
      <c r="D25" s="94">
        <f>'JULHO 2021'!C25+'JULHO 2021'!D25+'AGOSTO 2021'!C25</f>
        <v>3779156.0199999996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56189.67</v>
      </c>
      <c r="D26" s="94">
        <f>'JULHO 2021'!C26+'JULHO 2021'!D26+'AGOSTO 2021'!C26</f>
        <v>477901.29999999993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18582.68</v>
      </c>
      <c r="D27" s="94">
        <f>'JULHO 2021'!C27+'JULHO 2021'!D27+'AGOSTO 2021'!C27</f>
        <v>200816.45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2021'!D28+'AGOSTO 2021'!C28</f>
        <v>9277.1999999999989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30999.14</v>
      </c>
      <c r="D29" s="94">
        <f>'JULHO 2021'!C29+'JULHO 2021'!D29+'AGOSTO 2021'!C29</f>
        <v>197336.13000000015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586938.52000000014</v>
      </c>
      <c r="D30" s="65">
        <f>SUM(D25:D29)</f>
        <v>4664487.0999999996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525085.93999999983</v>
      </c>
      <c r="D31" s="68">
        <f>D20-D30</f>
        <v>3289728.5590000004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334" t="s">
        <v>16</v>
      </c>
      <c r="C34" s="335" t="s">
        <v>90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334"/>
      <c r="C35" s="335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7186.78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9849.7999999999993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84.32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17120.899999999998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34841392.81-C42</f>
        <v>34824271.910000004</v>
      </c>
    </row>
    <row r="46" spans="1:20" ht="15.75" customHeight="1">
      <c r="B46" s="54" t="s">
        <v>26</v>
      </c>
      <c r="C46" s="55">
        <v>10683664.949999999</v>
      </c>
    </row>
    <row r="47" spans="1:20" ht="15.75" customHeight="1">
      <c r="B47" s="54" t="s">
        <v>27</v>
      </c>
      <c r="C47" s="55">
        <v>5445.04</v>
      </c>
    </row>
    <row r="48" spans="1:20" ht="15.75" customHeight="1">
      <c r="B48" s="61" t="s">
        <v>28</v>
      </c>
      <c r="C48" s="74">
        <f>SUM(C45:C47)</f>
        <v>45513381.899999999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45530502.799999997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338" t="s">
        <v>30</v>
      </c>
      <c r="C56" s="338"/>
    </row>
    <row r="57" spans="2:3" ht="15.75" customHeight="1">
      <c r="B57" s="338" t="s">
        <v>42</v>
      </c>
      <c r="C57" s="338"/>
    </row>
    <row r="58" spans="2:3" ht="15.75" customHeight="1">
      <c r="B58" s="338" t="s">
        <v>87</v>
      </c>
      <c r="C58" s="338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58"/>
  <sheetViews>
    <sheetView showGridLines="0" workbookViewId="0">
      <selection activeCell="B12" sqref="B12"/>
    </sheetView>
  </sheetViews>
  <sheetFormatPr defaultRowHeight="15.75" customHeight="1"/>
  <cols>
    <col min="1" max="1" width="16.8554687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7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10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341" t="s">
        <v>0</v>
      </c>
      <c r="C6" s="34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342" t="s">
        <v>1</v>
      </c>
      <c r="C7" s="113" t="s">
        <v>101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342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606163.43000000005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384175.16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139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-522151.34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103</v>
      </c>
      <c r="C13" s="115">
        <v>52780.28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104</v>
      </c>
      <c r="C14" s="115">
        <v>22722.75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105</v>
      </c>
      <c r="C15" s="115">
        <v>11162.33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106</v>
      </c>
      <c r="C16" s="115">
        <v>4653.6099999999997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107</v>
      </c>
      <c r="C17" s="115">
        <v>15942.38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702142.5199999999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342" t="s">
        <v>10</v>
      </c>
      <c r="C22" s="343" t="s">
        <v>101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342"/>
      <c r="C23" s="343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88</v>
      </c>
      <c r="C25" s="115">
        <v>480847.39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39</v>
      </c>
      <c r="C26" s="115">
        <v>56189.67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17935.82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574551.07-C25-C26-C27-C28</f>
        <v>19578.189999999937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574551.06999999995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127591.44999999995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342" t="s">
        <v>16</v>
      </c>
      <c r="C34" s="343" t="s">
        <v>101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342"/>
      <c r="C35" s="343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1817.15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64316.21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35.32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66168.680000000008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35111631.65-C39-C40-C41</f>
        <v>35045462.969999999</v>
      </c>
    </row>
    <row r="46" spans="1:19" ht="15.75" customHeight="1">
      <c r="B46" s="114" t="s">
        <v>26</v>
      </c>
      <c r="C46" s="115">
        <v>10578601.199999999</v>
      </c>
    </row>
    <row r="47" spans="1:19" ht="15.75" customHeight="1">
      <c r="B47" s="114" t="s">
        <v>27</v>
      </c>
      <c r="C47" s="115">
        <v>5860.31</v>
      </c>
    </row>
    <row r="48" spans="1:19" ht="15.75" customHeight="1">
      <c r="B48" s="118" t="s">
        <v>28</v>
      </c>
      <c r="C48" s="129">
        <f>SUM(C45:C47)</f>
        <v>45629924.480000004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45696093.160000004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339" t="s">
        <v>30</v>
      </c>
      <c r="C56" s="339"/>
    </row>
    <row r="57" spans="2:3" ht="15.75" customHeight="1">
      <c r="B57" s="340" t="s">
        <v>117</v>
      </c>
      <c r="C57" s="340"/>
    </row>
    <row r="58" spans="2:3" ht="15.75" customHeight="1">
      <c r="B58" s="339" t="s">
        <v>102</v>
      </c>
      <c r="C58" s="339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30</vt:i4>
      </vt:variant>
      <vt:variant>
        <vt:lpstr>Intervalos Nomeados</vt:lpstr>
      </vt:variant>
      <vt:variant>
        <vt:i4>2</vt:i4>
      </vt:variant>
    </vt:vector>
  </HeadingPairs>
  <TitlesOfParts>
    <vt:vector size="32" baseType="lpstr">
      <vt:lpstr>JANEIRO 2021</vt:lpstr>
      <vt:lpstr>MARÇO 2021</vt:lpstr>
      <vt:lpstr>ABRIL 2021</vt:lpstr>
      <vt:lpstr>MAIO 2021</vt:lpstr>
      <vt:lpstr>JUNHO 2021</vt:lpstr>
      <vt:lpstr>JULHO 2021</vt:lpstr>
      <vt:lpstr>AGOSTO 2021</vt:lpstr>
      <vt:lpstr>SETEMBRO 2021</vt:lpstr>
      <vt:lpstr>OUTUBRO 2021</vt:lpstr>
      <vt:lpstr>NOVEMBRO 2021</vt:lpstr>
      <vt:lpstr>DEZEMBRO 2021</vt:lpstr>
      <vt:lpstr>JANEIRO 2022</vt:lpstr>
      <vt:lpstr>FEVEREIRO 2022</vt:lpstr>
      <vt:lpstr>MARÇO 2022</vt:lpstr>
      <vt:lpstr>ABRIL 2022</vt:lpstr>
      <vt:lpstr>MAIO 2022</vt:lpstr>
      <vt:lpstr>JUNHO 2022</vt:lpstr>
      <vt:lpstr>JULHO 2022</vt:lpstr>
      <vt:lpstr>AGOSTO 2022</vt:lpstr>
      <vt:lpstr>SETEMBRO 2022</vt:lpstr>
      <vt:lpstr>OUTUBRO 2022 </vt:lpstr>
      <vt:lpstr>NOVEMBRO 2022</vt:lpstr>
      <vt:lpstr>DEZEMBRO 2022</vt:lpstr>
      <vt:lpstr>JANEIRO 2023</vt:lpstr>
      <vt:lpstr>FEVEREIRO 2023</vt:lpstr>
      <vt:lpstr>MARÇO 2023</vt:lpstr>
      <vt:lpstr>ABRIL 2023</vt:lpstr>
      <vt:lpstr>MAIO 2023</vt:lpstr>
      <vt:lpstr>JUNHO 2023</vt:lpstr>
      <vt:lpstr>JULHO 2023</vt:lpstr>
      <vt:lpstr>'JANEIRO 2021'!Area_de_impressao</vt:lpstr>
      <vt:lpstr>'JANEIRO 2021'!Excel_BuiltIn_Print_Area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Stock - Gestão Comercial SSE</dc:creator>
  <cp:lastModifiedBy>User</cp:lastModifiedBy>
  <cp:revision>22</cp:revision>
  <cp:lastPrinted>2023-08-18T18:57:34Z</cp:lastPrinted>
  <dcterms:created xsi:type="dcterms:W3CDTF">2020-07-12T19:32:13Z</dcterms:created>
  <dcterms:modified xsi:type="dcterms:W3CDTF">2023-08-18T18:57:42Z</dcterms:modified>
</cp:coreProperties>
</file>